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drawings/drawing24.xml" ContentType="application/vnd.openxmlformats-officedocument.drawing+xml"/>
  <Override PartName="/xl/comments6.xml" ContentType="application/vnd.openxmlformats-officedocument.spreadsheetml.comments+xml"/>
  <Override PartName="/xl/drawings/drawing2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defaultThemeVersion="124226"/>
  <mc:AlternateContent xmlns:mc="http://schemas.openxmlformats.org/markup-compatibility/2006">
    <mc:Choice Requires="x15">
      <x15ac:absPath xmlns:x15ac="http://schemas.microsoft.com/office/spreadsheetml/2010/11/ac" url="T:\MASTERS\Application\2020 Application\"/>
    </mc:Choice>
  </mc:AlternateContent>
  <xr:revisionPtr revIDLastSave="0" documentId="13_ncr:1_{D3BD621F-1D16-47EA-A5CA-60EFAE7B9328}" xr6:coauthVersionLast="41" xr6:coauthVersionMax="41" xr10:uidLastSave="{00000000-0000-0000-0000-000000000000}"/>
  <bookViews>
    <workbookView xWindow="25080" yWindow="-120" windowWidth="29040" windowHeight="15840" firstSheet="5" activeTab="5" xr2:uid="{00000000-000D-0000-FFFF-FFFF00000000}"/>
  </bookViews>
  <sheets>
    <sheet name="Dropdowns" sheetId="29" state="hidden" r:id="rId1"/>
    <sheet name="ESDS-Reference Table" sheetId="39" state="hidden" r:id="rId2"/>
    <sheet name="ESDS-Lookup Table" sheetId="40" state="hidden" r:id="rId3"/>
    <sheet name="5 Default Check" sheetId="43" state="hidden" r:id="rId4"/>
    <sheet name="HTF_Insert" sheetId="103" state="hidden" r:id="rId5"/>
    <sheet name="Definitions" sheetId="33" r:id="rId6"/>
    <sheet name="Validations Checklist" sheetId="37" r:id="rId7"/>
    <sheet name="1" sheetId="1" r:id="rId8"/>
    <sheet name="2A" sheetId="3" r:id="rId9"/>
    <sheet name="2B" sheetId="4" r:id="rId10"/>
    <sheet name="2C" sheetId="38" r:id="rId11"/>
    <sheet name="3" sheetId="6" r:id="rId12"/>
    <sheet name="4" sheetId="7" r:id="rId13"/>
    <sheet name="5" sheetId="8" r:id="rId14"/>
    <sheet name="6A" sheetId="9" r:id="rId15"/>
    <sheet name="6B" sheetId="10" r:id="rId16"/>
    <sheet name="6C" sheetId="11" r:id="rId17"/>
    <sheet name="LIHTC Insert" sheetId="99" state="hidden" r:id="rId18"/>
    <sheet name="6D" sheetId="12" r:id="rId19"/>
    <sheet name="Tax_Credit_Numbers" sheetId="50" state="hidden" r:id="rId20"/>
    <sheet name="Calc Sheet Insert" sheetId="100" state="hidden" r:id="rId21"/>
    <sheet name="6E" sheetId="13" r:id="rId22"/>
    <sheet name="7A" sheetId="49" r:id="rId23"/>
    <sheet name="Resources Insert" sheetId="102" state="hidden" r:id="rId24"/>
    <sheet name="7B" sheetId="15" r:id="rId25"/>
    <sheet name="8A" sheetId="16" r:id="rId26"/>
    <sheet name="8B" sheetId="17" r:id="rId27"/>
    <sheet name="8C" sheetId="36" r:id="rId28"/>
    <sheet name="8D" sheetId="20" r:id="rId29"/>
    <sheet name="8E" sheetId="21" r:id="rId30"/>
    <sheet name="9A" sheetId="22" r:id="rId31"/>
    <sheet name="9B" sheetId="23" r:id="rId32"/>
    <sheet name="9C" sheetId="24" r:id="rId33"/>
    <sheet name="9D" sheetId="25" r:id="rId34"/>
    <sheet name="9E" sheetId="26" r:id="rId35"/>
    <sheet name="11A" sheetId="97" r:id="rId36"/>
    <sheet name="ScoringLists (9%)" sheetId="98" state="hidden" r:id="rId37"/>
    <sheet name="11B" sheetId="95" r:id="rId38"/>
    <sheet name="ScoringLists (4%)" sheetId="96" state="hidden" r:id="rId39"/>
  </sheets>
  <definedNames>
    <definedName name="_xlnm._FilterDatabase" localSheetId="13" hidden="1">'5'!$C$17:$F$75</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Dropdowns!$B$177:$B$179</definedName>
    <definedName name="AMIs">Dropdowns!$B$92:$B$102</definedName>
    <definedName name="Beds">Dropdowns!$B$65:$B$66</definedName>
    <definedName name="Building_ID_or_Name">'2A'!$C$8:$C$22</definedName>
    <definedName name="Building_Type">Dropdowns!$B$116:$B$124</definedName>
    <definedName name="credit_limits">'ScoringLists (9%)'!$B$185:$B$185</definedName>
    <definedName name="Debt_Type">Dropdowns!$B$56:$B$58</definedName>
    <definedName name="DevFees">'ScoringLists (9%)'!$B$187:$B$193</definedName>
    <definedName name="eligible_tribes">'ScoringLists (9%)'!$B$207:$B$221</definedName>
    <definedName name="Enable">Dropdowns!$B$110:$B$110</definedName>
    <definedName name="federal_funding_sources">'ScoringLists (9%)'!$B$169:$B$175</definedName>
    <definedName name="Fund_Source">Dropdowns!$B$153:$B$169</definedName>
    <definedName name="G_or_L">Dropdowns!$E$51:$E$53</definedName>
    <definedName name="Grant">Dropdowns!$G$52:$G$53</definedName>
    <definedName name="Grant_or_Loan">Dropdowns!$B$51:$B$54</definedName>
    <definedName name="GrantType">Dropdowns!$G$52:$G$54</definedName>
    <definedName name="higher_income">'ScoringLists (9%)'!$B$2:$B$19</definedName>
    <definedName name="Historic">'ScoringLists (9%)'!$B$201:$B$204</definedName>
    <definedName name="Homeless75">'ScoringLists (9%)'!$B$120:$B$122</definedName>
    <definedName name="in_within">'ScoringLists (9%)'!$B$243:$B$246</definedName>
    <definedName name="Inc_Higher">'ScoringLists (9%)'!$B$22:$B$39</definedName>
    <definedName name="Inc_Lower">'ScoringLists (9%)'!$B$66:$B$83</definedName>
    <definedName name="Inc_percent">'ScoringLists (9%)'!$B$85:$B$94</definedName>
    <definedName name="job_centers">'ScoringLists (9%)'!$B$249:$B$300</definedName>
    <definedName name="KC_HTF">'ScoringLists (9%)'!$B$177:$B$179</definedName>
    <definedName name="KC_only">'ScoringLists (9%)'!$B$231:$B$234</definedName>
    <definedName name="KC_OppArea">'ScoringLists (9%)'!$B$237:$B$240</definedName>
    <definedName name="Leveraging_Points">'ScoringLists (9%)'!$B$147:$B$159</definedName>
    <definedName name="LIH40percent_4percent">'ScoringLists (4%)'!$B$56:$B$57</definedName>
    <definedName name="LIH50percent_4percent">'ScoringLists (4%)'!$B$59:$B$63</definedName>
    <definedName name="LIH60percent_4percent">'ScoringLists (4%)'!$B$65:$B$70</definedName>
    <definedName name="Loan">Dropdowns!$H$52:$H$56</definedName>
    <definedName name="LoanType">Dropdowns!$H$52:$H$56</definedName>
    <definedName name="local_funding_counties">'ScoringLists (9%)'!$B$138:$B$145</definedName>
    <definedName name="local_funding_types">'ScoringLists (9%)'!$B$161:$B$167</definedName>
    <definedName name="location_eff">'ScoringLists (9%)'!$B$224:$B$228</definedName>
    <definedName name="Location_eff_4percent">'ScoringLists (4%)'!$B$74:$B$76</definedName>
    <definedName name="lower_income">'ScoringLists (9%)'!$B$41:$B$64</definedName>
    <definedName name="lower_income_4percent">'ScoringLists (4%)'!$B$3:$B$10</definedName>
    <definedName name="Non_LIH_Units">Dropdowns!$B$87:$B$89</definedName>
    <definedName name="NonRes_FundSource">Dropdowns!$E$153:$E$167</definedName>
    <definedName name="NPSponsor">'ScoringLists (9%)'!$B$302:$B$306</definedName>
    <definedName name="OnSite_OffSite">Dropdowns!$B$172:$B$174</definedName>
    <definedName name="OnTime_OnBudget">Dropdowns!$B$147:$B$151</definedName>
    <definedName name="PBRA_units">'ScoringLists (9%)'!$B$181:$B$184</definedName>
    <definedName name="Population_Types">Dropdowns!$B$3:$B$22</definedName>
    <definedName name="_xlnm.Print_Area" localSheetId="7">'1'!$B$2:$Q$60</definedName>
    <definedName name="_xlnm.Print_Area" localSheetId="35">'11A'!$B$14:$O$274</definedName>
    <definedName name="_xlnm.Print_Area" localSheetId="37">'11B'!$B$12:$O$257</definedName>
    <definedName name="_xlnm.Print_Area" localSheetId="8">'2A'!$B$2:$O$22</definedName>
    <definedName name="_xlnm.Print_Area" localSheetId="9">'2B'!$B$12:$P$34</definedName>
    <definedName name="_xlnm.Print_Area" localSheetId="10">'2C'!$B$12:$L$151</definedName>
    <definedName name="_xlnm.Print_Area" localSheetId="11">'3'!$B$15:$H$56</definedName>
    <definedName name="_xlnm.Print_Area" localSheetId="12">'4'!$B$2:$H$34</definedName>
    <definedName name="_xlnm.Print_Area" localSheetId="13">'5'!$B$12:$G$78</definedName>
    <definedName name="_xlnm.Print_Area" localSheetId="3">'5 Default Check'!$B$3:$F$62</definedName>
    <definedName name="_xlnm.Print_Area" localSheetId="14">'6A'!$B$12:$V$123</definedName>
    <definedName name="_xlnm.Print_Area" localSheetId="15">'6B'!$B$6:$L$101</definedName>
    <definedName name="_xlnm.Print_Area" localSheetId="16">'6C'!$B$10:$L$120</definedName>
    <definedName name="_xlnm.Print_Area" localSheetId="18">'6D'!$B$6:$H$54</definedName>
    <definedName name="_xlnm.Print_Area" localSheetId="21">'6E'!$B$7:$J$59</definedName>
    <definedName name="_xlnm.Print_Area" localSheetId="22">'7A'!$B$9:$Q$49</definedName>
    <definedName name="_xlnm.Print_Area" localSheetId="24">'7B'!$B$8:$AJ$60</definedName>
    <definedName name="_xlnm.Print_Area" localSheetId="25">'8A'!$B$8:$P$52</definedName>
    <definedName name="_xlnm.Print_Area" localSheetId="26">'8B'!$B$10:$J$40</definedName>
    <definedName name="_xlnm.Print_Area" localSheetId="27">'8C'!$B$9:$S$65</definedName>
    <definedName name="_xlnm.Print_Area" localSheetId="28">'8D'!$B$13:$W$117</definedName>
    <definedName name="_xlnm.Print_Area" localSheetId="29">'8E'!$B$7:$F$47</definedName>
    <definedName name="_xlnm.Print_Area" localSheetId="30">'9A'!$B$2:$I$90</definedName>
    <definedName name="_xlnm.Print_Area" localSheetId="31">'9B'!$B$7:$Y$38</definedName>
    <definedName name="_xlnm.Print_Area" localSheetId="32">'9C'!$B$12:$M$38</definedName>
    <definedName name="_xlnm.Print_Area" localSheetId="33">'9D'!$B$15:$L$43</definedName>
    <definedName name="_xlnm.Print_Area" localSheetId="34">'9E'!$B$7:$J$25</definedName>
    <definedName name="_xlnm.Print_Area" localSheetId="5">Definitions!$A$1:$L$44</definedName>
    <definedName name="_xlnm.Print_Titles" localSheetId="14">'6A'!$12:$20</definedName>
    <definedName name="_xlnm.Print_Titles" localSheetId="15">'6B'!$6:$12</definedName>
    <definedName name="_xlnm.Print_Titles" localSheetId="16">'6C'!$10:$19</definedName>
    <definedName name="Project_Status">Dropdowns!$B$132:$B$136</definedName>
    <definedName name="Project_Type">Dropdowns!$B$138:$B$140</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'5'!$E$18:$E$77</definedName>
    <definedName name="Schedule_Tasks" localSheetId="3">'5 Default Check'!$D$7:$D$61</definedName>
    <definedName name="Schedule_Tasks">'5'!$D$18:$D$77</definedName>
    <definedName name="SpecNeeds20">'ScoringLists (9%)'!$B$129:$B$136</definedName>
    <definedName name="TDC_limit">'ScoringLists (9%)'!$B$309:$B$313</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ars">'ScoringLists (9%)'!$B$96:$B$118</definedName>
    <definedName name="Yes_No_Either">Dropdowns!$B$30:$B$33</definedName>
    <definedName name="Yes_No_Partial">Dropdowns!$B$35:$B$38</definedName>
    <definedName name="Yes_or_No">Dropdowns!$B$26:$B$28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K2" i="103" l="1"/>
  <c r="CJ2" i="103"/>
  <c r="CF2" i="103" l="1"/>
  <c r="H2" i="103"/>
  <c r="G2" i="103"/>
  <c r="F2" i="103"/>
  <c r="E2" i="103"/>
  <c r="D2" i="103"/>
  <c r="C2" i="103"/>
  <c r="B2" i="103"/>
  <c r="AU2" i="103"/>
  <c r="AT2" i="103"/>
  <c r="AS2" i="103"/>
  <c r="AR2" i="103"/>
  <c r="AQ2" i="103"/>
  <c r="AP2" i="103"/>
  <c r="AO2" i="103"/>
  <c r="AN2" i="103"/>
  <c r="AM2" i="103"/>
  <c r="AL2" i="103"/>
  <c r="AK2" i="103"/>
  <c r="AJ2" i="103"/>
  <c r="AI2" i="103"/>
  <c r="AH2" i="103"/>
  <c r="AG2" i="103"/>
  <c r="AF2" i="103"/>
  <c r="AE2" i="103"/>
  <c r="AD2" i="103"/>
  <c r="BN2" i="103"/>
  <c r="BM2" i="103"/>
  <c r="BL2" i="103"/>
  <c r="BJ2" i="103"/>
  <c r="BO2" i="103"/>
  <c r="BI2" i="103"/>
  <c r="BH2" i="103"/>
  <c r="BG2" i="103"/>
  <c r="BF2" i="103"/>
  <c r="BE2" i="103"/>
  <c r="BD2" i="103"/>
  <c r="BC2" i="103"/>
  <c r="BB2" i="103"/>
  <c r="BA2" i="103"/>
  <c r="AZ2" i="103"/>
  <c r="AY2" i="103"/>
  <c r="AX2" i="103"/>
  <c r="AW2" i="103"/>
  <c r="BK2" i="103"/>
  <c r="BS2" i="103"/>
  <c r="BR2" i="103"/>
  <c r="BZ2" i="103"/>
  <c r="BX2" i="103"/>
  <c r="BV2" i="103"/>
  <c r="CG2" i="103" l="1"/>
  <c r="DU2" i="103"/>
  <c r="G7" i="102" l="1"/>
  <c r="F7" i="102"/>
  <c r="E7" i="102"/>
  <c r="D7" i="102"/>
  <c r="C7" i="102"/>
  <c r="B7" i="102"/>
  <c r="G6" i="102"/>
  <c r="F6" i="102"/>
  <c r="E6" i="102"/>
  <c r="D6" i="102"/>
  <c r="C6" i="102"/>
  <c r="B6" i="102"/>
  <c r="G5" i="102"/>
  <c r="F5" i="102"/>
  <c r="E5" i="102"/>
  <c r="D5" i="102"/>
  <c r="C5" i="102"/>
  <c r="B5" i="102"/>
  <c r="G4" i="102"/>
  <c r="F4" i="102"/>
  <c r="E4" i="102"/>
  <c r="D4" i="102"/>
  <c r="C4" i="102"/>
  <c r="B4" i="102"/>
  <c r="G3" i="102"/>
  <c r="F3" i="102"/>
  <c r="E3" i="102"/>
  <c r="D3" i="102"/>
  <c r="C3" i="102"/>
  <c r="B3" i="102"/>
  <c r="G2" i="102"/>
  <c r="F2" i="102"/>
  <c r="E2" i="102"/>
  <c r="D2" i="102"/>
  <c r="C2" i="102"/>
  <c r="B2" i="102"/>
  <c r="Q2" i="100" l="1"/>
  <c r="P2" i="100"/>
  <c r="O2" i="100"/>
  <c r="N2" i="100"/>
  <c r="M2" i="100"/>
  <c r="L2" i="100"/>
  <c r="K2" i="100"/>
  <c r="J2" i="100"/>
  <c r="I2" i="100"/>
  <c r="H2" i="100"/>
  <c r="G2" i="100"/>
  <c r="F2" i="100"/>
  <c r="E2" i="100"/>
  <c r="EY2" i="99"/>
  <c r="EX2" i="99"/>
  <c r="EW2" i="99"/>
  <c r="EV2" i="99"/>
  <c r="EU2" i="99"/>
  <c r="ET2" i="99"/>
  <c r="ES2" i="99"/>
  <c r="ER2" i="99"/>
  <c r="EQ2" i="99"/>
  <c r="EP2" i="99"/>
  <c r="EO2" i="99"/>
  <c r="EN2" i="99"/>
  <c r="EM2" i="99"/>
  <c r="EL2" i="99"/>
  <c r="EK2" i="99"/>
  <c r="EJ2" i="99"/>
  <c r="EI2" i="99"/>
  <c r="EH2" i="99"/>
  <c r="EG2" i="99"/>
  <c r="EF2" i="99"/>
  <c r="EE2" i="99"/>
  <c r="ED2" i="99"/>
  <c r="EC2" i="99"/>
  <c r="EB2" i="99"/>
  <c r="EA2" i="99"/>
  <c r="DZ2" i="99"/>
  <c r="DY2" i="99"/>
  <c r="DX2" i="99"/>
  <c r="DW2" i="99"/>
  <c r="DV2" i="99"/>
  <c r="DU2" i="99"/>
  <c r="DT2" i="99"/>
  <c r="DS2" i="99"/>
  <c r="DR2" i="99"/>
  <c r="DQ2" i="99"/>
  <c r="DP2" i="99"/>
  <c r="DO2" i="99"/>
  <c r="DN2" i="99"/>
  <c r="DM2" i="99"/>
  <c r="DL2" i="99"/>
  <c r="DK2" i="99"/>
  <c r="DJ2" i="99"/>
  <c r="DI2" i="99"/>
  <c r="DH2" i="99"/>
  <c r="DG2" i="99"/>
  <c r="DF2" i="99"/>
  <c r="DE2" i="99"/>
  <c r="DD2" i="99"/>
  <c r="DC2" i="99"/>
  <c r="DB2" i="99"/>
  <c r="DA2" i="99"/>
  <c r="CZ2" i="99"/>
  <c r="CY2" i="99"/>
  <c r="CX2" i="99"/>
  <c r="CW2" i="99"/>
  <c r="CV2" i="99"/>
  <c r="CU2" i="99"/>
  <c r="CT2" i="99"/>
  <c r="CS2" i="99"/>
  <c r="CR2" i="99"/>
  <c r="CQ2" i="99"/>
  <c r="CP2" i="99"/>
  <c r="CO2" i="99"/>
  <c r="CN2" i="99"/>
  <c r="CM2" i="99"/>
  <c r="CL2" i="99"/>
  <c r="CK2" i="99"/>
  <c r="CJ2" i="99"/>
  <c r="CI2" i="99"/>
  <c r="CH2" i="99"/>
  <c r="CG2" i="99"/>
  <c r="CF2" i="99"/>
  <c r="CE2" i="99"/>
  <c r="CD2" i="99"/>
  <c r="CC2" i="99"/>
  <c r="CB2" i="99"/>
  <c r="CA2" i="99"/>
  <c r="BZ2" i="99"/>
  <c r="BY2" i="99"/>
  <c r="BX2" i="99"/>
  <c r="BW2" i="99"/>
  <c r="BV2" i="99"/>
  <c r="BU2" i="99"/>
  <c r="H221" i="97" l="1"/>
  <c r="H99" i="20" l="1"/>
  <c r="G99" i="20" s="1"/>
  <c r="I98" i="20"/>
  <c r="J98" i="20" s="1"/>
  <c r="K98" i="20" s="1"/>
  <c r="L98" i="20" s="1"/>
  <c r="M98" i="20" s="1"/>
  <c r="N98" i="20" s="1"/>
  <c r="O98" i="20" s="1"/>
  <c r="P98" i="20" s="1"/>
  <c r="Q98" i="20" s="1"/>
  <c r="R98" i="20" s="1"/>
  <c r="S98" i="20" s="1"/>
  <c r="T98" i="20" s="1"/>
  <c r="U98" i="20" s="1"/>
  <c r="V98" i="20" s="1"/>
  <c r="I97" i="20"/>
  <c r="I99" i="20" l="1"/>
  <c r="J97" i="20"/>
  <c r="AH23" i="15"/>
  <c r="AG23" i="15"/>
  <c r="AF23" i="15"/>
  <c r="AE23" i="15"/>
  <c r="AD23" i="15"/>
  <c r="AC23" i="15"/>
  <c r="AB23" i="15"/>
  <c r="AA23" i="15"/>
  <c r="Z23" i="15"/>
  <c r="Y23" i="15"/>
  <c r="X23" i="15"/>
  <c r="W23" i="15"/>
  <c r="V23" i="15"/>
  <c r="U23" i="15"/>
  <c r="D23" i="15"/>
  <c r="E36" i="15"/>
  <c r="Q36" i="15"/>
  <c r="P36" i="15"/>
  <c r="O36" i="15"/>
  <c r="N36" i="15"/>
  <c r="M36" i="15"/>
  <c r="L36" i="15"/>
  <c r="K36" i="15"/>
  <c r="J36" i="15"/>
  <c r="I36" i="15"/>
  <c r="H36" i="15"/>
  <c r="G36" i="15"/>
  <c r="F36" i="15"/>
  <c r="D36" i="15"/>
  <c r="W36" i="15"/>
  <c r="W38" i="15" s="1"/>
  <c r="AH36" i="15"/>
  <c r="AG36" i="15"/>
  <c r="AF36" i="15"/>
  <c r="AE36" i="15"/>
  <c r="AD36" i="15"/>
  <c r="AC36" i="15"/>
  <c r="AB36" i="15"/>
  <c r="AA36" i="15"/>
  <c r="Z36" i="15"/>
  <c r="Y36" i="15"/>
  <c r="X36" i="15"/>
  <c r="X38" i="15" s="1"/>
  <c r="V36" i="15"/>
  <c r="U36" i="15"/>
  <c r="Y51" i="15"/>
  <c r="Z51" i="15"/>
  <c r="X51" i="15"/>
  <c r="W51" i="15"/>
  <c r="V51" i="15"/>
  <c r="U51" i="15"/>
  <c r="AF51" i="15"/>
  <c r="AG51" i="15"/>
  <c r="Q23" i="15"/>
  <c r="P23" i="15"/>
  <c r="O23" i="15"/>
  <c r="N23" i="15"/>
  <c r="Q51" i="15"/>
  <c r="P51" i="15"/>
  <c r="O51" i="15"/>
  <c r="N51" i="15"/>
  <c r="AE11" i="15"/>
  <c r="U11" i="15"/>
  <c r="AI49" i="15"/>
  <c r="AI48" i="15"/>
  <c r="AI47" i="15"/>
  <c r="AI46" i="15"/>
  <c r="AI45" i="15"/>
  <c r="AI44" i="15"/>
  <c r="AI43" i="15"/>
  <c r="AI42" i="15"/>
  <c r="AI41" i="15"/>
  <c r="AI35" i="15"/>
  <c r="AI34" i="15"/>
  <c r="AI32" i="15"/>
  <c r="AI31" i="15"/>
  <c r="AI30" i="15"/>
  <c r="AI29" i="15"/>
  <c r="AI28" i="15"/>
  <c r="AI27" i="15"/>
  <c r="AI22" i="15"/>
  <c r="AI21" i="15"/>
  <c r="AI20" i="15"/>
  <c r="AI19" i="15"/>
  <c r="AG38" i="15" l="1"/>
  <c r="AG53" i="15" s="1"/>
  <c r="O38" i="15"/>
  <c r="O53" i="15" s="1"/>
  <c r="V38" i="15"/>
  <c r="V53" i="15" s="1"/>
  <c r="P38" i="15"/>
  <c r="AC38" i="15"/>
  <c r="Q38" i="15"/>
  <c r="Q53" i="15" s="1"/>
  <c r="AD38" i="15"/>
  <c r="AH38" i="15"/>
  <c r="P53" i="15"/>
  <c r="AA38" i="15"/>
  <c r="AE38" i="15"/>
  <c r="AB38" i="15"/>
  <c r="AF38" i="15"/>
  <c r="AF53" i="15" s="1"/>
  <c r="Y38" i="15"/>
  <c r="Y53" i="15" s="1"/>
  <c r="N38" i="15"/>
  <c r="N53" i="15" s="1"/>
  <c r="U38" i="15"/>
  <c r="U53" i="15" s="1"/>
  <c r="Z38" i="15"/>
  <c r="Z53" i="15" s="1"/>
  <c r="K97" i="20"/>
  <c r="J99" i="20"/>
  <c r="X53" i="15"/>
  <c r="W53" i="15"/>
  <c r="AI36" i="15"/>
  <c r="AI51" i="15"/>
  <c r="AI23" i="15"/>
  <c r="C15" i="95"/>
  <c r="C17" i="97"/>
  <c r="L56" i="36"/>
  <c r="L97" i="20" l="1"/>
  <c r="K99" i="20"/>
  <c r="AI38" i="15"/>
  <c r="AI53" i="15" s="1"/>
  <c r="D27" i="16"/>
  <c r="D30" i="16" s="1"/>
  <c r="L99" i="20" l="1"/>
  <c r="M97" i="20"/>
  <c r="G48" i="12"/>
  <c r="U2" i="100" s="1"/>
  <c r="M108" i="95"/>
  <c r="L108" i="95"/>
  <c r="K108" i="95"/>
  <c r="J108" i="95"/>
  <c r="I108" i="95"/>
  <c r="L243" i="97"/>
  <c r="K243" i="97"/>
  <c r="J243" i="97"/>
  <c r="I243" i="97"/>
  <c r="H243" i="97"/>
  <c r="G36" i="12"/>
  <c r="M99" i="20" l="1"/>
  <c r="N97" i="20"/>
  <c r="L140" i="95"/>
  <c r="L143" i="95"/>
  <c r="O97" i="20" l="1"/>
  <c r="N99" i="20"/>
  <c r="P97" i="20" l="1"/>
  <c r="O99" i="20"/>
  <c r="L95" i="97"/>
  <c r="J36" i="97"/>
  <c r="P99" i="20" l="1"/>
  <c r="Q97" i="20"/>
  <c r="L108" i="97"/>
  <c r="L110" i="97" s="1"/>
  <c r="N239" i="95"/>
  <c r="N231" i="95"/>
  <c r="N211" i="95"/>
  <c r="N205" i="95"/>
  <c r="N198" i="95"/>
  <c r="N169" i="95"/>
  <c r="N161" i="95"/>
  <c r="N127" i="95"/>
  <c r="N77" i="95"/>
  <c r="N40" i="95"/>
  <c r="N33" i="95"/>
  <c r="J30" i="95"/>
  <c r="Q99" i="20" l="1"/>
  <c r="R97" i="20"/>
  <c r="G24" i="12"/>
  <c r="S97" i="20" l="1"/>
  <c r="R99" i="20"/>
  <c r="T97" i="20" l="1"/>
  <c r="S99" i="20"/>
  <c r="U97" i="20" l="1"/>
  <c r="T99" i="20"/>
  <c r="C20" i="4"/>
  <c r="U99" i="20" l="1"/>
  <c r="V97" i="20"/>
  <c r="V99" i="20" s="1"/>
  <c r="C33" i="4"/>
  <c r="C32" i="4"/>
  <c r="C31" i="4"/>
  <c r="C30" i="4"/>
  <c r="C29" i="4"/>
  <c r="C28" i="4"/>
  <c r="C27" i="4"/>
  <c r="C26" i="4"/>
  <c r="C25" i="4"/>
  <c r="C24" i="4"/>
  <c r="C23" i="4"/>
  <c r="C22" i="4"/>
  <c r="C21" i="4"/>
  <c r="K51" i="16" l="1"/>
  <c r="J51" i="16"/>
  <c r="I51" i="16"/>
  <c r="H51" i="16"/>
  <c r="G51" i="16"/>
  <c r="F51" i="16"/>
  <c r="E51" i="16"/>
  <c r="D51" i="16"/>
  <c r="K50" i="16"/>
  <c r="J50" i="16"/>
  <c r="I50" i="16"/>
  <c r="H50" i="16"/>
  <c r="G50" i="16"/>
  <c r="F50" i="16"/>
  <c r="E50" i="16"/>
  <c r="D50" i="16"/>
  <c r="F19" i="7"/>
  <c r="F13" i="7" l="1"/>
  <c r="F14" i="7"/>
  <c r="F15" i="7"/>
  <c r="F16" i="7"/>
  <c r="F17" i="7"/>
  <c r="F18" i="7"/>
  <c r="R56" i="36" l="1"/>
  <c r="Q56" i="36"/>
  <c r="P56" i="36"/>
  <c r="O56" i="36"/>
  <c r="N56" i="36"/>
  <c r="Q27" i="36"/>
  <c r="N27" i="36"/>
  <c r="Q42" i="36"/>
  <c r="P32" i="36"/>
  <c r="P45" i="36" s="1"/>
  <c r="Q32" i="36"/>
  <c r="Q45" i="36" s="1"/>
  <c r="R15" i="36"/>
  <c r="Q15" i="36"/>
  <c r="F36" i="17"/>
  <c r="F28" i="17"/>
  <c r="F57" i="36" l="1"/>
  <c r="G23" i="37"/>
  <c r="F44" i="49"/>
  <c r="E44" i="49"/>
  <c r="F34" i="49"/>
  <c r="E34" i="49"/>
  <c r="F21" i="49"/>
  <c r="E21" i="49"/>
  <c r="C12" i="49"/>
  <c r="F46" i="49" l="1"/>
  <c r="F23" i="49"/>
  <c r="F36" i="49"/>
  <c r="F48" i="49" s="1"/>
  <c r="AK36" i="15" s="1"/>
  <c r="R32" i="36" l="1"/>
  <c r="R45" i="36" s="1"/>
  <c r="O32" i="36"/>
  <c r="O45" i="36" s="1"/>
  <c r="R42" i="36" l="1"/>
  <c r="P42" i="36"/>
  <c r="O42" i="36"/>
  <c r="N42" i="36"/>
  <c r="H41" i="36"/>
  <c r="H40" i="36"/>
  <c r="H39" i="36"/>
  <c r="K39" i="36" s="1"/>
  <c r="H38" i="36"/>
  <c r="K38" i="36" s="1"/>
  <c r="H37" i="36"/>
  <c r="H36" i="36"/>
  <c r="H35" i="36"/>
  <c r="K35" i="36" s="1"/>
  <c r="H34" i="36"/>
  <c r="H33" i="36"/>
  <c r="K34" i="36" l="1"/>
  <c r="L34" i="36"/>
  <c r="K36" i="36"/>
  <c r="L36" i="36" s="1"/>
  <c r="K40" i="36"/>
  <c r="L40" i="36" s="1"/>
  <c r="K33" i="36"/>
  <c r="L33" i="36" s="1"/>
  <c r="K37" i="36"/>
  <c r="L37" i="36" s="1"/>
  <c r="K41" i="36"/>
  <c r="L41" i="36" s="1"/>
  <c r="L35" i="36"/>
  <c r="L39" i="36"/>
  <c r="L38"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L42" i="36" l="1"/>
  <c r="E65" i="43"/>
  <c r="G37" i="9"/>
  <c r="G36" i="9"/>
  <c r="H39" i="20" l="1"/>
  <c r="F43" i="36"/>
  <c r="G17" i="37"/>
  <c r="H20" i="36"/>
  <c r="L26" i="36"/>
  <c r="H72" i="20" s="1"/>
  <c r="K20" i="36" l="1"/>
  <c r="L20" i="36" s="1"/>
  <c r="C66" i="20"/>
  <c r="C10" i="26"/>
  <c r="C18" i="25"/>
  <c r="C15" i="24"/>
  <c r="C10" i="23"/>
  <c r="C5" i="22"/>
  <c r="C10" i="21"/>
  <c r="C16" i="20"/>
  <c r="C12" i="36"/>
  <c r="C13" i="17"/>
  <c r="C11" i="16"/>
  <c r="C11" i="15"/>
  <c r="C10" i="13"/>
  <c r="C9" i="12"/>
  <c r="C13" i="11"/>
  <c r="C9" i="10"/>
  <c r="C15" i="9"/>
  <c r="C15" i="8"/>
  <c r="C5" i="7"/>
  <c r="C18" i="6"/>
  <c r="F18" i="38"/>
  <c r="C15" i="4"/>
  <c r="C5" i="3"/>
  <c r="EF23" i="40" l="1"/>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J140" i="38"/>
  <c r="J149" i="38" s="1"/>
  <c r="AA2" i="103" s="1"/>
  <c r="K139" i="38"/>
  <c r="I139" i="38" a="1"/>
  <c r="I139" i="38" s="1"/>
  <c r="K138" i="38"/>
  <c r="I138" i="38" a="1"/>
  <c r="I138" i="38" s="1"/>
  <c r="K137" i="38"/>
  <c r="I137" i="38" a="1"/>
  <c r="I137" i="38" s="1"/>
  <c r="K136" i="38"/>
  <c r="I136" i="38" a="1"/>
  <c r="I136" i="38" s="1"/>
  <c r="I135" i="38" a="1"/>
  <c r="I135" i="38" s="1"/>
  <c r="K134" i="38"/>
  <c r="I134" i="38" a="1"/>
  <c r="I134" i="38" s="1"/>
  <c r="J129" i="38"/>
  <c r="J148" i="38" s="1"/>
  <c r="Z2" i="103" s="1"/>
  <c r="K128" i="38"/>
  <c r="I128" i="38" a="1"/>
  <c r="I128" i="38" s="1"/>
  <c r="K127" i="38"/>
  <c r="I127" i="38" a="1"/>
  <c r="I127" i="38" s="1"/>
  <c r="K126" i="38"/>
  <c r="I126" i="38" a="1"/>
  <c r="I126" i="38" s="1"/>
  <c r="K125" i="38"/>
  <c r="I125" i="38" a="1"/>
  <c r="I125" i="38" s="1"/>
  <c r="K124" i="38"/>
  <c r="I124" i="38" a="1"/>
  <c r="I124" i="38" s="1"/>
  <c r="K123" i="38"/>
  <c r="I123" i="38" a="1"/>
  <c r="I123" i="38" s="1"/>
  <c r="K122" i="38"/>
  <c r="I122" i="38" a="1"/>
  <c r="I122" i="38" s="1"/>
  <c r="K121" i="38"/>
  <c r="I121" i="38" a="1"/>
  <c r="I121" i="38" s="1"/>
  <c r="K120" i="38"/>
  <c r="I120" i="38" a="1"/>
  <c r="I120" i="38" s="1"/>
  <c r="K119" i="38"/>
  <c r="I119" i="38" a="1"/>
  <c r="I119" i="38" s="1"/>
  <c r="K118" i="38"/>
  <c r="I118" i="38" a="1"/>
  <c r="I118" i="38" s="1"/>
  <c r="K117" i="38"/>
  <c r="I117" i="38" a="1"/>
  <c r="I117" i="38" s="1"/>
  <c r="K116" i="38"/>
  <c r="I116" i="38" a="1"/>
  <c r="I116" i="38" s="1"/>
  <c r="K115" i="38"/>
  <c r="I115" i="38" a="1"/>
  <c r="I115" i="38" s="1"/>
  <c r="K114" i="38"/>
  <c r="I114" i="38"/>
  <c r="I114" i="38" a="1"/>
  <c r="K113" i="38"/>
  <c r="I113" i="38" a="1"/>
  <c r="I113" i="38" s="1"/>
  <c r="K112" i="38"/>
  <c r="I112" i="38" a="1"/>
  <c r="I112" i="38" s="1"/>
  <c r="K111" i="38"/>
  <c r="I111" i="38" a="1"/>
  <c r="I111" i="38" s="1"/>
  <c r="K110" i="38"/>
  <c r="I110" i="38" a="1"/>
  <c r="I110" i="38" s="1"/>
  <c r="K109" i="38"/>
  <c r="I109" i="38" a="1"/>
  <c r="I109" i="38" s="1"/>
  <c r="K108" i="38"/>
  <c r="I108" i="38" a="1"/>
  <c r="I108" i="38" s="1"/>
  <c r="J103" i="38"/>
  <c r="J147" i="38" s="1"/>
  <c r="Y2" i="103" s="1"/>
  <c r="I102" i="38" a="1"/>
  <c r="I102" i="38" s="1"/>
  <c r="I101" i="38" a="1"/>
  <c r="I101" i="38" s="1"/>
  <c r="K100" i="38"/>
  <c r="I100" i="38" a="1"/>
  <c r="I100" i="38" s="1"/>
  <c r="K99" i="38"/>
  <c r="I99" i="38" a="1"/>
  <c r="I99" i="38" s="1"/>
  <c r="K98" i="38"/>
  <c r="I98" i="38" a="1"/>
  <c r="I98" i="38" s="1"/>
  <c r="K97" i="38"/>
  <c r="I97" i="38" a="1"/>
  <c r="I97" i="38" s="1"/>
  <c r="K96" i="38"/>
  <c r="I96" i="38" a="1"/>
  <c r="I96" i="38" s="1"/>
  <c r="J92" i="38"/>
  <c r="J146" i="38" s="1"/>
  <c r="X2" i="103" s="1"/>
  <c r="K91" i="38"/>
  <c r="I91" i="38" a="1"/>
  <c r="I91" i="38" s="1"/>
  <c r="K90" i="38"/>
  <c r="I90" i="38" a="1"/>
  <c r="I90" i="38" s="1"/>
  <c r="K89" i="38"/>
  <c r="I89" i="38" a="1"/>
  <c r="I89" i="38" s="1"/>
  <c r="K88" i="38"/>
  <c r="I88" i="38" a="1"/>
  <c r="I88" i="38" s="1"/>
  <c r="K87" i="38"/>
  <c r="I87" i="38" a="1"/>
  <c r="I87" i="38" s="1"/>
  <c r="K86" i="38"/>
  <c r="I86" i="38" a="1"/>
  <c r="I86" i="38" s="1"/>
  <c r="K85" i="38"/>
  <c r="I85" i="38" a="1"/>
  <c r="I85" i="38" s="1"/>
  <c r="K84" i="38"/>
  <c r="I84" i="38" a="1"/>
  <c r="I84" i="38" s="1"/>
  <c r="K83" i="38"/>
  <c r="I83" i="38" a="1"/>
  <c r="I83" i="38" s="1"/>
  <c r="K82" i="38"/>
  <c r="I82" i="38" a="1"/>
  <c r="I82" i="38" s="1"/>
  <c r="K81" i="38"/>
  <c r="I81" i="38" a="1"/>
  <c r="I81" i="38" s="1"/>
  <c r="K80" i="38"/>
  <c r="I80" i="38" a="1"/>
  <c r="I80" i="38" s="1"/>
  <c r="K79" i="38"/>
  <c r="I79" i="38" a="1"/>
  <c r="I79" i="38" s="1"/>
  <c r="K78" i="38"/>
  <c r="I78" i="38" a="1"/>
  <c r="I78" i="38" s="1"/>
  <c r="K77" i="38"/>
  <c r="I77" i="38" a="1"/>
  <c r="I77" i="38" s="1"/>
  <c r="K76" i="38"/>
  <c r="I76" i="38" a="1"/>
  <c r="I76" i="38" s="1"/>
  <c r="K75" i="38"/>
  <c r="I75" i="38" a="1"/>
  <c r="I75" i="38" s="1"/>
  <c r="K74" i="38"/>
  <c r="I74" i="38" a="1"/>
  <c r="I74" i="38" s="1"/>
  <c r="J69" i="38"/>
  <c r="J145" i="38" s="1"/>
  <c r="W2" i="103" s="1"/>
  <c r="I68" i="38" a="1"/>
  <c r="I68" i="38" s="1"/>
  <c r="K67" i="38"/>
  <c r="I67" i="38" a="1"/>
  <c r="I67" i="38" s="1"/>
  <c r="K66" i="38"/>
  <c r="I66" i="38" a="1"/>
  <c r="I66" i="38" s="1"/>
  <c r="I65" i="38" a="1"/>
  <c r="I65" i="38" s="1"/>
  <c r="K64" i="38"/>
  <c r="I64" i="38" a="1"/>
  <c r="I64" i="38" s="1"/>
  <c r="J60" i="38"/>
  <c r="J144" i="38" s="1"/>
  <c r="V2" i="103" s="1"/>
  <c r="K59" i="38"/>
  <c r="I59" i="38" a="1"/>
  <c r="I59" i="38" s="1"/>
  <c r="K58" i="38"/>
  <c r="I58" i="38" a="1"/>
  <c r="I58" i="38" s="1"/>
  <c r="K57" i="38"/>
  <c r="I57" i="38" a="1"/>
  <c r="I57" i="38" s="1"/>
  <c r="K56" i="38"/>
  <c r="I56" i="38" a="1"/>
  <c r="I56" i="38" s="1"/>
  <c r="K55" i="38"/>
  <c r="I55" i="38" a="1"/>
  <c r="I55" i="38" s="1"/>
  <c r="K54" i="38"/>
  <c r="I54" i="38" a="1"/>
  <c r="I54" i="38" s="1"/>
  <c r="K53" i="38"/>
  <c r="I53" i="38" a="1"/>
  <c r="I53" i="38" s="1"/>
  <c r="K52" i="38"/>
  <c r="I52" i="38" a="1"/>
  <c r="I52" i="38" s="1"/>
  <c r="J48" i="38"/>
  <c r="J143" i="38" s="1"/>
  <c r="U2" i="103" s="1"/>
  <c r="K47" i="38"/>
  <c r="I47" i="38" a="1"/>
  <c r="I47" i="38" s="1"/>
  <c r="K46" i="38"/>
  <c r="I46" i="38" a="1"/>
  <c r="I46" i="38" s="1"/>
  <c r="K45" i="38"/>
  <c r="I45" i="38" a="1"/>
  <c r="I45" i="38" s="1"/>
  <c r="K44" i="38"/>
  <c r="I44" i="38" a="1"/>
  <c r="I44" i="38" s="1"/>
  <c r="K43" i="38"/>
  <c r="I43" i="38" a="1"/>
  <c r="I43" i="38" s="1"/>
  <c r="K42" i="38"/>
  <c r="I42" i="38" a="1"/>
  <c r="I42" i="38" s="1"/>
  <c r="K41" i="38"/>
  <c r="I41" i="38" a="1"/>
  <c r="I41" i="38" s="1"/>
  <c r="K40" i="38"/>
  <c r="I40" i="38" a="1"/>
  <c r="I40" i="38" s="1"/>
  <c r="K39" i="38"/>
  <c r="I39" i="38" a="1"/>
  <c r="I39" i="38" s="1"/>
  <c r="K38" i="38"/>
  <c r="I38" i="38" a="1"/>
  <c r="I38" i="38" s="1"/>
  <c r="K37" i="38"/>
  <c r="I37" i="38" a="1"/>
  <c r="I37" i="38" s="1"/>
  <c r="J33" i="38"/>
  <c r="J142" i="38" s="1"/>
  <c r="T2" i="103" s="1"/>
  <c r="I32" i="38" a="1"/>
  <c r="I32" i="38" s="1"/>
  <c r="I31" i="38" a="1"/>
  <c r="I31" i="38" s="1"/>
  <c r="I30" i="38" a="1"/>
  <c r="I30" i="38" s="1"/>
  <c r="K29" i="38"/>
  <c r="I29" i="38" a="1"/>
  <c r="I29" i="38" s="1"/>
  <c r="I28" i="38" a="1"/>
  <c r="I28" i="38" s="1"/>
  <c r="K27" i="38"/>
  <c r="I27" i="38" a="1"/>
  <c r="I27" i="38" s="1"/>
  <c r="J150" i="38" l="1"/>
  <c r="G24" i="37" l="1"/>
  <c r="G22" i="37"/>
  <c r="G21" i="37"/>
  <c r="G14" i="37"/>
  <c r="G13" i="37"/>
  <c r="G12" i="37"/>
  <c r="G11" i="37"/>
  <c r="G10" i="37"/>
  <c r="E29" i="21" l="1"/>
  <c r="F17" i="17"/>
  <c r="F18" i="17"/>
  <c r="F19" i="17"/>
  <c r="F20" i="17"/>
  <c r="F26" i="17"/>
  <c r="F27" i="17"/>
  <c r="F29" i="17"/>
  <c r="F35" i="17"/>
  <c r="F37" i="17"/>
  <c r="F38" i="17"/>
  <c r="J19" i="16"/>
  <c r="I89" i="20" l="1"/>
  <c r="J89" i="20" s="1"/>
  <c r="K89" i="20" s="1"/>
  <c r="L89" i="20" s="1"/>
  <c r="M89" i="20" s="1"/>
  <c r="N89" i="20" s="1"/>
  <c r="O89" i="20" s="1"/>
  <c r="P89" i="20" s="1"/>
  <c r="Q89" i="20" s="1"/>
  <c r="R89" i="20" s="1"/>
  <c r="S89" i="20" s="1"/>
  <c r="T89" i="20" s="1"/>
  <c r="U89" i="20" s="1"/>
  <c r="V89" i="20" s="1"/>
  <c r="E24" i="21"/>
  <c r="E42" i="21"/>
  <c r="E43" i="21"/>
  <c r="E41" i="21"/>
  <c r="E40" i="21"/>
  <c r="E39" i="21"/>
  <c r="E38" i="21"/>
  <c r="E37" i="21"/>
  <c r="E36" i="21"/>
  <c r="E35" i="21"/>
  <c r="E34" i="21"/>
  <c r="E33" i="21"/>
  <c r="E32" i="21"/>
  <c r="E31" i="21"/>
  <c r="E30" i="21"/>
  <c r="E28" i="21"/>
  <c r="E27" i="21"/>
  <c r="E26" i="21"/>
  <c r="E25" i="21"/>
  <c r="E23" i="21"/>
  <c r="J18" i="16"/>
  <c r="J17" i="16"/>
  <c r="P15" i="36" l="1"/>
  <c r="O15" i="36"/>
  <c r="D39" i="17"/>
  <c r="DL2" i="103" s="1"/>
  <c r="E39" i="17"/>
  <c r="DM2" i="103" s="1"/>
  <c r="E30" i="17"/>
  <c r="DK2" i="103" s="1"/>
  <c r="D30" i="17"/>
  <c r="DJ2" i="103" s="1"/>
  <c r="L23" i="15"/>
  <c r="K51" i="15"/>
  <c r="D51" i="15"/>
  <c r="J51" i="15"/>
  <c r="I51" i="15"/>
  <c r="H51" i="15"/>
  <c r="G51" i="15"/>
  <c r="F51" i="15"/>
  <c r="E51" i="15"/>
  <c r="K23" i="15"/>
  <c r="J23" i="15"/>
  <c r="I23" i="15"/>
  <c r="H23" i="15"/>
  <c r="G23" i="15"/>
  <c r="F23" i="15"/>
  <c r="E23" i="15"/>
  <c r="D38" i="15"/>
  <c r="K28" i="4"/>
  <c r="O28" i="4" s="1"/>
  <c r="D53" i="15" l="1"/>
  <c r="F39" i="17"/>
  <c r="N57" i="36" s="1"/>
  <c r="F30" i="17"/>
  <c r="K38" i="15"/>
  <c r="K53" i="15" s="1"/>
  <c r="H38" i="15"/>
  <c r="H53" i="15" s="1"/>
  <c r="E38" i="15"/>
  <c r="E53" i="15" s="1"/>
  <c r="I38" i="15"/>
  <c r="I53" i="15" s="1"/>
  <c r="F38" i="15"/>
  <c r="F53" i="15" s="1"/>
  <c r="J38" i="15"/>
  <c r="J53" i="15" s="1"/>
  <c r="G38" i="15"/>
  <c r="G53" i="15" s="1"/>
  <c r="H26" i="20" l="1"/>
  <c r="H24" i="36"/>
  <c r="R27" i="36"/>
  <c r="P27" i="36"/>
  <c r="O27" i="36"/>
  <c r="H23" i="36"/>
  <c r="H22" i="36"/>
  <c r="K22" i="36" s="1"/>
  <c r="H21" i="36"/>
  <c r="K21" i="36" s="1"/>
  <c r="H19" i="36"/>
  <c r="K19" i="36" s="1"/>
  <c r="H18" i="36"/>
  <c r="H17" i="36"/>
  <c r="H16" i="36"/>
  <c r="K17" i="36" l="1"/>
  <c r="L17" i="36" s="1"/>
  <c r="K16" i="36"/>
  <c r="L16" i="36" s="1"/>
  <c r="N28" i="36"/>
  <c r="K18" i="36"/>
  <c r="L18" i="36" s="1"/>
  <c r="K23" i="36"/>
  <c r="L23" i="36" s="1"/>
  <c r="K24" i="36"/>
  <c r="L24" i="36" s="1"/>
  <c r="L22" i="36"/>
  <c r="L19" i="36"/>
  <c r="L21" i="36"/>
  <c r="G41" i="6"/>
  <c r="K33" i="4"/>
  <c r="O33" i="4" s="1"/>
  <c r="L21" i="3"/>
  <c r="N29" i="16"/>
  <c r="M29" i="16"/>
  <c r="J29" i="16"/>
  <c r="L29" i="16" s="1"/>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s="1"/>
  <c r="M26" i="16"/>
  <c r="O35" i="20"/>
  <c r="P35" i="20"/>
  <c r="Q35" i="20"/>
  <c r="R35" i="20"/>
  <c r="S35" i="20"/>
  <c r="T35" i="20"/>
  <c r="U35" i="20"/>
  <c r="V35" i="20"/>
  <c r="I105" i="20"/>
  <c r="J105" i="20" s="1"/>
  <c r="K105" i="20" s="1"/>
  <c r="L105" i="20" s="1"/>
  <c r="M105" i="20" s="1"/>
  <c r="N105" i="20" s="1"/>
  <c r="O105" i="20" s="1"/>
  <c r="I39" i="20"/>
  <c r="H103" i="20"/>
  <c r="I102" i="20"/>
  <c r="I101" i="20"/>
  <c r="J101" i="20" s="1"/>
  <c r="I91" i="20"/>
  <c r="J91" i="20" s="1"/>
  <c r="K91" i="20" s="1"/>
  <c r="L91" i="20" s="1"/>
  <c r="M91" i="20" s="1"/>
  <c r="N91" i="20" s="1"/>
  <c r="O91" i="20" s="1"/>
  <c r="P91" i="20" s="1"/>
  <c r="Q91" i="20" s="1"/>
  <c r="R91" i="20" s="1"/>
  <c r="S91" i="20" s="1"/>
  <c r="T91" i="20" s="1"/>
  <c r="U91" i="20" s="1"/>
  <c r="V91" i="20" s="1"/>
  <c r="I90" i="20"/>
  <c r="J90" i="20" s="1"/>
  <c r="K90" i="20" s="1"/>
  <c r="L90" i="20" s="1"/>
  <c r="M90" i="20" s="1"/>
  <c r="N90" i="20" s="1"/>
  <c r="O90" i="20" s="1"/>
  <c r="P90" i="20" s="1"/>
  <c r="Q90" i="20" s="1"/>
  <c r="R90" i="20" s="1"/>
  <c r="S90" i="20" s="1"/>
  <c r="T90" i="20" s="1"/>
  <c r="U90" i="20" s="1"/>
  <c r="V90" i="20" s="1"/>
  <c r="I88" i="20"/>
  <c r="J88" i="20" s="1"/>
  <c r="K88" i="20" s="1"/>
  <c r="L88" i="20" s="1"/>
  <c r="M88" i="20" s="1"/>
  <c r="N88" i="20" s="1"/>
  <c r="O88" i="20" s="1"/>
  <c r="P88" i="20" s="1"/>
  <c r="Q88" i="20" s="1"/>
  <c r="R88" i="20" s="1"/>
  <c r="S88" i="20" s="1"/>
  <c r="T88" i="20" s="1"/>
  <c r="U88" i="20" s="1"/>
  <c r="V88" i="20" s="1"/>
  <c r="I87" i="20"/>
  <c r="J87" i="20" s="1"/>
  <c r="K87" i="20" s="1"/>
  <c r="L87" i="20" s="1"/>
  <c r="M87" i="20" s="1"/>
  <c r="N87" i="20" s="1"/>
  <c r="O87" i="20" s="1"/>
  <c r="P87" i="20" s="1"/>
  <c r="Q87" i="20" s="1"/>
  <c r="R87" i="20" s="1"/>
  <c r="S87" i="20" s="1"/>
  <c r="T87" i="20" s="1"/>
  <c r="U87" i="20" s="1"/>
  <c r="V87" i="20" s="1"/>
  <c r="I86" i="20"/>
  <c r="J86" i="20" s="1"/>
  <c r="K86" i="20" s="1"/>
  <c r="L86" i="20" s="1"/>
  <c r="M86" i="20" s="1"/>
  <c r="N86" i="20" s="1"/>
  <c r="O86" i="20" s="1"/>
  <c r="P86" i="20" s="1"/>
  <c r="Q86" i="20" s="1"/>
  <c r="R86" i="20" s="1"/>
  <c r="S86" i="20" s="1"/>
  <c r="T86" i="20" s="1"/>
  <c r="U86" i="20" s="1"/>
  <c r="V86" i="20" s="1"/>
  <c r="I85" i="20"/>
  <c r="J85" i="20" s="1"/>
  <c r="K85" i="20" s="1"/>
  <c r="L85" i="20" s="1"/>
  <c r="M85" i="20" s="1"/>
  <c r="N85" i="20" s="1"/>
  <c r="O85" i="20" s="1"/>
  <c r="P85" i="20" s="1"/>
  <c r="Q85" i="20" s="1"/>
  <c r="R85" i="20" s="1"/>
  <c r="S85" i="20" s="1"/>
  <c r="T85" i="20" s="1"/>
  <c r="U85" i="20" s="1"/>
  <c r="V85" i="20" s="1"/>
  <c r="I84" i="20"/>
  <c r="J84" i="20" s="1"/>
  <c r="K84" i="20" s="1"/>
  <c r="L84" i="20" s="1"/>
  <c r="M84" i="20" s="1"/>
  <c r="N84" i="20" s="1"/>
  <c r="O84" i="20" s="1"/>
  <c r="P84" i="20" s="1"/>
  <c r="Q84" i="20" s="1"/>
  <c r="R84" i="20" s="1"/>
  <c r="S84" i="20" s="1"/>
  <c r="T84" i="20" s="1"/>
  <c r="U84" i="20" s="1"/>
  <c r="V84" i="20" s="1"/>
  <c r="I83" i="20"/>
  <c r="J83" i="20" s="1"/>
  <c r="K83" i="20" s="1"/>
  <c r="L83" i="20" s="1"/>
  <c r="M83" i="20" s="1"/>
  <c r="N83" i="20" s="1"/>
  <c r="O83" i="20" s="1"/>
  <c r="P83" i="20" s="1"/>
  <c r="Q83" i="20" s="1"/>
  <c r="R83" i="20" s="1"/>
  <c r="S83" i="20" s="1"/>
  <c r="T83" i="20" s="1"/>
  <c r="U83" i="20" s="1"/>
  <c r="V83" i="20" s="1"/>
  <c r="I82" i="20"/>
  <c r="J82" i="20" s="1"/>
  <c r="K82" i="20" s="1"/>
  <c r="L82" i="20" s="1"/>
  <c r="M82" i="20" s="1"/>
  <c r="N82" i="20" s="1"/>
  <c r="O82" i="20" s="1"/>
  <c r="P82" i="20" s="1"/>
  <c r="Q82" i="20" s="1"/>
  <c r="R82" i="20" s="1"/>
  <c r="S82" i="20" s="1"/>
  <c r="T82" i="20" s="1"/>
  <c r="U82" i="20" s="1"/>
  <c r="V82" i="20" s="1"/>
  <c r="I81" i="20"/>
  <c r="J81" i="20" s="1"/>
  <c r="K81" i="20" s="1"/>
  <c r="L81" i="20" s="1"/>
  <c r="M81" i="20" s="1"/>
  <c r="N81" i="20" s="1"/>
  <c r="O81" i="20" s="1"/>
  <c r="P81" i="20" s="1"/>
  <c r="Q81" i="20" s="1"/>
  <c r="R81" i="20" s="1"/>
  <c r="S81" i="20" s="1"/>
  <c r="T81" i="20" s="1"/>
  <c r="U81" i="20" s="1"/>
  <c r="V81" i="20" s="1"/>
  <c r="I80" i="20"/>
  <c r="J80" i="20" s="1"/>
  <c r="K80" i="20" s="1"/>
  <c r="L80" i="20" s="1"/>
  <c r="M80" i="20" s="1"/>
  <c r="N80" i="20" s="1"/>
  <c r="O80" i="20" s="1"/>
  <c r="P80" i="20" s="1"/>
  <c r="Q80" i="20" s="1"/>
  <c r="R80" i="20" s="1"/>
  <c r="S80" i="20" s="1"/>
  <c r="T80" i="20" s="1"/>
  <c r="U80" i="20" s="1"/>
  <c r="V80" i="20" s="1"/>
  <c r="I79" i="20"/>
  <c r="J79" i="20" s="1"/>
  <c r="K79" i="20" s="1"/>
  <c r="L79" i="20" s="1"/>
  <c r="M79" i="20" s="1"/>
  <c r="N79" i="20" s="1"/>
  <c r="O79" i="20" s="1"/>
  <c r="P79" i="20" s="1"/>
  <c r="Q79" i="20" s="1"/>
  <c r="R79" i="20" s="1"/>
  <c r="S79" i="20" s="1"/>
  <c r="T79" i="20" s="1"/>
  <c r="U79" i="20" s="1"/>
  <c r="V79" i="20" s="1"/>
  <c r="I78" i="20"/>
  <c r="J78" i="20" s="1"/>
  <c r="K78" i="20" s="1"/>
  <c r="L78" i="20" s="1"/>
  <c r="M78" i="20" s="1"/>
  <c r="N78" i="20" s="1"/>
  <c r="O78" i="20" s="1"/>
  <c r="P78" i="20" s="1"/>
  <c r="Q78" i="20" s="1"/>
  <c r="R78" i="20" s="1"/>
  <c r="S78" i="20" s="1"/>
  <c r="T78" i="20" s="1"/>
  <c r="U78" i="20" s="1"/>
  <c r="V78" i="20" s="1"/>
  <c r="I77" i="20"/>
  <c r="J77" i="20" s="1"/>
  <c r="K77" i="20" s="1"/>
  <c r="L77" i="20" s="1"/>
  <c r="M77" i="20" s="1"/>
  <c r="N77" i="20" s="1"/>
  <c r="O77" i="20" s="1"/>
  <c r="P77" i="20" s="1"/>
  <c r="Q77" i="20" s="1"/>
  <c r="R77" i="20" s="1"/>
  <c r="S77" i="20" s="1"/>
  <c r="T77" i="20" s="1"/>
  <c r="U77" i="20" s="1"/>
  <c r="V77" i="20" s="1"/>
  <c r="I76" i="20"/>
  <c r="J76" i="20" s="1"/>
  <c r="K76" i="20" s="1"/>
  <c r="L76" i="20" s="1"/>
  <c r="M76" i="20" s="1"/>
  <c r="N76" i="20" s="1"/>
  <c r="O76" i="20" s="1"/>
  <c r="P76" i="20" s="1"/>
  <c r="Q76" i="20" s="1"/>
  <c r="R76" i="20" s="1"/>
  <c r="S76" i="20" s="1"/>
  <c r="T76" i="20" s="1"/>
  <c r="U76" i="20" s="1"/>
  <c r="V76" i="20" s="1"/>
  <c r="I75" i="20"/>
  <c r="J75" i="20" s="1"/>
  <c r="K75" i="20" s="1"/>
  <c r="L75" i="20" s="1"/>
  <c r="M75" i="20" s="1"/>
  <c r="N75" i="20" s="1"/>
  <c r="O75" i="20" s="1"/>
  <c r="P75" i="20" s="1"/>
  <c r="Q75" i="20" s="1"/>
  <c r="R75" i="20" s="1"/>
  <c r="S75" i="20" s="1"/>
  <c r="T75" i="20" s="1"/>
  <c r="U75" i="20" s="1"/>
  <c r="V75" i="20" s="1"/>
  <c r="I74" i="20"/>
  <c r="J74" i="20" s="1"/>
  <c r="I73" i="20"/>
  <c r="J73" i="20" s="1"/>
  <c r="K73" i="20" s="1"/>
  <c r="L73" i="20" s="1"/>
  <c r="M73" i="20" s="1"/>
  <c r="N73" i="20" s="1"/>
  <c r="O73" i="20" s="1"/>
  <c r="P73" i="20" s="1"/>
  <c r="Q73" i="20" s="1"/>
  <c r="R73" i="20" s="1"/>
  <c r="S73" i="20" s="1"/>
  <c r="T73" i="20" s="1"/>
  <c r="U73" i="20" s="1"/>
  <c r="V73" i="20" s="1"/>
  <c r="I72" i="20"/>
  <c r="J72" i="20" s="1"/>
  <c r="K72" i="20" s="1"/>
  <c r="L72" i="20" s="1"/>
  <c r="M72" i="20" s="1"/>
  <c r="N72" i="20" s="1"/>
  <c r="O72" i="20" s="1"/>
  <c r="P72" i="20" s="1"/>
  <c r="Q72" i="20" s="1"/>
  <c r="R72" i="20" s="1"/>
  <c r="S72" i="20" s="1"/>
  <c r="T72" i="20" s="1"/>
  <c r="U72" i="20" s="1"/>
  <c r="V72" i="20" s="1"/>
  <c r="V58" i="20"/>
  <c r="U58" i="20"/>
  <c r="T58" i="20"/>
  <c r="S58" i="20"/>
  <c r="R58" i="20"/>
  <c r="Q58" i="20"/>
  <c r="P58" i="20"/>
  <c r="O58" i="20"/>
  <c r="V49" i="20"/>
  <c r="U49" i="20"/>
  <c r="T49" i="20"/>
  <c r="S49" i="20"/>
  <c r="R49" i="20"/>
  <c r="Q49" i="20"/>
  <c r="P49" i="20"/>
  <c r="O49" i="20"/>
  <c r="L35" i="16" l="1"/>
  <c r="CV2" i="103" s="1"/>
  <c r="K74" i="20"/>
  <c r="L74" i="20" s="1"/>
  <c r="M74" i="20" s="1"/>
  <c r="N74" i="20" s="1"/>
  <c r="O74" i="20" s="1"/>
  <c r="P74" i="20" s="1"/>
  <c r="Q74" i="20" s="1"/>
  <c r="R74" i="20" s="1"/>
  <c r="S74" i="20" s="1"/>
  <c r="T74" i="20" s="1"/>
  <c r="U74" i="20" s="1"/>
  <c r="V74" i="20" s="1"/>
  <c r="L25" i="36"/>
  <c r="J102" i="20"/>
  <c r="K102" i="20" s="1"/>
  <c r="L102" i="20" s="1"/>
  <c r="M102" i="20" s="1"/>
  <c r="N102" i="20" s="1"/>
  <c r="O102" i="20" s="1"/>
  <c r="P102" i="20" s="1"/>
  <c r="Q102" i="20" s="1"/>
  <c r="R102" i="20" s="1"/>
  <c r="S102" i="20" s="1"/>
  <c r="T102" i="20" s="1"/>
  <c r="U102" i="20" s="1"/>
  <c r="V102" i="20" s="1"/>
  <c r="J39" i="20"/>
  <c r="K39" i="20" s="1"/>
  <c r="L39" i="20" s="1"/>
  <c r="M39" i="20" s="1"/>
  <c r="N39" i="20" s="1"/>
  <c r="O39" i="20" s="1"/>
  <c r="P39" i="20" s="1"/>
  <c r="Q39" i="20" s="1"/>
  <c r="R39" i="20" s="1"/>
  <c r="S39" i="20" s="1"/>
  <c r="T39" i="20" s="1"/>
  <c r="U39" i="20" s="1"/>
  <c r="V39" i="20" s="1"/>
  <c r="L27" i="36"/>
  <c r="H28" i="36" s="1"/>
  <c r="E45" i="16"/>
  <c r="O29" i="16"/>
  <c r="O26" i="16"/>
  <c r="P105" i="20"/>
  <c r="Q105" i="20" s="1"/>
  <c r="K101" i="20"/>
  <c r="I103" i="20"/>
  <c r="L38" i="15"/>
  <c r="M23" i="15"/>
  <c r="E48" i="16" l="1"/>
  <c r="CO2" i="103"/>
  <c r="H71" i="20"/>
  <c r="J103" i="20"/>
  <c r="M38" i="15"/>
  <c r="R105" i="20"/>
  <c r="L101" i="20"/>
  <c r="K103" i="20"/>
  <c r="D23" i="22"/>
  <c r="D52" i="22"/>
  <c r="E22" i="21" l="1"/>
  <c r="H92" i="20"/>
  <c r="H106" i="20" s="1"/>
  <c r="I71" i="20"/>
  <c r="I92" i="20" s="1"/>
  <c r="I106" i="20" s="1"/>
  <c r="S105" i="20"/>
  <c r="M101" i="20"/>
  <c r="N101" i="20" s="1"/>
  <c r="O101" i="20" s="1"/>
  <c r="L103" i="20"/>
  <c r="N34" i="4"/>
  <c r="Q2" i="103" s="1"/>
  <c r="J71" i="20" l="1"/>
  <c r="J92" i="20" s="1"/>
  <c r="J106" i="20" s="1"/>
  <c r="P101" i="20"/>
  <c r="O103" i="20"/>
  <c r="T105" i="20"/>
  <c r="M103" i="20"/>
  <c r="N103" i="20"/>
  <c r="K71" i="20" l="1"/>
  <c r="K92" i="20" s="1"/>
  <c r="K106" i="20" s="1"/>
  <c r="Q101" i="20"/>
  <c r="P103" i="20"/>
  <c r="U105" i="20"/>
  <c r="L71" i="20" l="1"/>
  <c r="R101" i="20"/>
  <c r="Q103" i="20"/>
  <c r="V105" i="20"/>
  <c r="M71" i="20" l="1"/>
  <c r="L92" i="20"/>
  <c r="L106" i="20" s="1"/>
  <c r="R103" i="20"/>
  <c r="S101" i="20"/>
  <c r="D68" i="20"/>
  <c r="N71" i="20" l="1"/>
  <c r="M92" i="20"/>
  <c r="M106" i="20" s="1"/>
  <c r="S103" i="20"/>
  <c r="T101" i="20"/>
  <c r="D12" i="26"/>
  <c r="D21" i="25"/>
  <c r="D28" i="22"/>
  <c r="DW2" i="103" s="1"/>
  <c r="D27" i="22"/>
  <c r="D24" i="22"/>
  <c r="D19" i="22"/>
  <c r="DV2" i="103" s="1"/>
  <c r="D18" i="22"/>
  <c r="D17" i="22"/>
  <c r="D8" i="22"/>
  <c r="H35" i="20"/>
  <c r="N58" i="20"/>
  <c r="M58" i="20"/>
  <c r="L58" i="20"/>
  <c r="K58" i="20"/>
  <c r="J58" i="20"/>
  <c r="I58" i="20"/>
  <c r="H58" i="20"/>
  <c r="N49" i="20"/>
  <c r="M49" i="20"/>
  <c r="L49" i="20"/>
  <c r="K49" i="20"/>
  <c r="J49" i="20"/>
  <c r="I49" i="20"/>
  <c r="H49" i="20"/>
  <c r="N35" i="20"/>
  <c r="M35" i="20"/>
  <c r="L35" i="20"/>
  <c r="K35" i="20"/>
  <c r="J35" i="20"/>
  <c r="I35" i="20"/>
  <c r="I28" i="20"/>
  <c r="I29" i="20"/>
  <c r="J29" i="20" s="1"/>
  <c r="K29" i="20" s="1"/>
  <c r="L29" i="20" s="1"/>
  <c r="M29" i="20" s="1"/>
  <c r="N29" i="20" s="1"/>
  <c r="O29" i="20" s="1"/>
  <c r="P29" i="20" s="1"/>
  <c r="Q29" i="20" s="1"/>
  <c r="R29" i="20" s="1"/>
  <c r="S29" i="20" s="1"/>
  <c r="T29" i="20" s="1"/>
  <c r="U29" i="20" s="1"/>
  <c r="V29" i="20" s="1"/>
  <c r="E21" i="17"/>
  <c r="DI2" i="103" s="1"/>
  <c r="D21" i="17"/>
  <c r="DH2" i="103" s="1"/>
  <c r="N92" i="20" l="1"/>
  <c r="N106" i="20" s="1"/>
  <c r="O71" i="20"/>
  <c r="F21" i="17"/>
  <c r="H25" i="20" s="1"/>
  <c r="I25" i="20" s="1"/>
  <c r="J28" i="20"/>
  <c r="K28" i="20" s="1"/>
  <c r="L28" i="20" s="1"/>
  <c r="M28" i="20" s="1"/>
  <c r="N28" i="20" s="1"/>
  <c r="O28" i="20" s="1"/>
  <c r="P28" i="20" s="1"/>
  <c r="Q28" i="20" s="1"/>
  <c r="R28" i="20" s="1"/>
  <c r="S28" i="20" s="1"/>
  <c r="T28" i="20" s="1"/>
  <c r="U28" i="20" s="1"/>
  <c r="V28" i="20" s="1"/>
  <c r="T103" i="20"/>
  <c r="U101" i="20"/>
  <c r="N25" i="16"/>
  <c r="M25" i="16"/>
  <c r="N24" i="16"/>
  <c r="M24" i="16"/>
  <c r="N23" i="16"/>
  <c r="M23" i="16"/>
  <c r="N22" i="16"/>
  <c r="M22" i="16"/>
  <c r="N21" i="16"/>
  <c r="M21" i="16"/>
  <c r="N20" i="16"/>
  <c r="M20" i="16"/>
  <c r="N19" i="16"/>
  <c r="M19" i="16"/>
  <c r="N18" i="16"/>
  <c r="M18" i="16"/>
  <c r="N17" i="16"/>
  <c r="M17" i="16"/>
  <c r="N16" i="16"/>
  <c r="M16" i="16"/>
  <c r="N15" i="16"/>
  <c r="M15" i="16"/>
  <c r="J25" i="16"/>
  <c r="L25" i="16" s="1"/>
  <c r="J24" i="16"/>
  <c r="L24" i="16" s="1"/>
  <c r="J23" i="16"/>
  <c r="J22" i="16"/>
  <c r="J21" i="16"/>
  <c r="L21" i="16" s="1"/>
  <c r="J20" i="16"/>
  <c r="L20" i="16" s="1"/>
  <c r="L19" i="16"/>
  <c r="L18" i="16"/>
  <c r="L17" i="16"/>
  <c r="J16" i="16"/>
  <c r="L16" i="16" s="1"/>
  <c r="J15" i="16"/>
  <c r="N14" i="16"/>
  <c r="M14" i="16"/>
  <c r="J14" i="16"/>
  <c r="AH51" i="15"/>
  <c r="AH53" i="15" s="1"/>
  <c r="AE51" i="15"/>
  <c r="AE53" i="15" s="1"/>
  <c r="AD51" i="15"/>
  <c r="AD53" i="15" s="1"/>
  <c r="AC51" i="15"/>
  <c r="AC53" i="15" s="1"/>
  <c r="AB51" i="15"/>
  <c r="AB53" i="15" s="1"/>
  <c r="AA51" i="15"/>
  <c r="AA53" i="15" s="1"/>
  <c r="M51" i="15"/>
  <c r="M53" i="15" s="1"/>
  <c r="L51" i="15"/>
  <c r="L53" i="15" s="1"/>
  <c r="P71" i="20" l="1"/>
  <c r="O92" i="20"/>
  <c r="O106" i="20" s="1"/>
  <c r="N30" i="16"/>
  <c r="H24" i="20" s="1"/>
  <c r="L22" i="16"/>
  <c r="L23" i="16"/>
  <c r="U103" i="20"/>
  <c r="V101" i="20"/>
  <c r="V103" i="20" s="1"/>
  <c r="M30" i="16"/>
  <c r="L15" i="16"/>
  <c r="O20" i="16"/>
  <c r="O21" i="16"/>
  <c r="O16" i="16"/>
  <c r="O25" i="16"/>
  <c r="L14" i="16"/>
  <c r="O17" i="16"/>
  <c r="O24" i="16"/>
  <c r="O18" i="16"/>
  <c r="O22" i="16"/>
  <c r="O19" i="16"/>
  <c r="O23" i="16"/>
  <c r="O15" i="16"/>
  <c r="O14" i="16"/>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K46" i="11"/>
  <c r="K62" i="11"/>
  <c r="K75" i="11"/>
  <c r="K106" i="11"/>
  <c r="J106" i="11"/>
  <c r="J75" i="11"/>
  <c r="J62" i="11"/>
  <c r="J46" i="11"/>
  <c r="P92" i="20" l="1"/>
  <c r="P106" i="20" s="1"/>
  <c r="Q71" i="20"/>
  <c r="J25" i="20"/>
  <c r="K25" i="20" s="1"/>
  <c r="L25" i="20" s="1"/>
  <c r="M25" i="20" s="1"/>
  <c r="N25" i="20" s="1"/>
  <c r="O25" i="20" s="1"/>
  <c r="P25" i="20" s="1"/>
  <c r="Q25" i="20" s="1"/>
  <c r="R25" i="20" s="1"/>
  <c r="S25" i="20" s="1"/>
  <c r="T25" i="20" s="1"/>
  <c r="U25" i="20" s="1"/>
  <c r="V25" i="20" s="1"/>
  <c r="I24" i="20"/>
  <c r="J24" i="20" s="1"/>
  <c r="K24" i="20" s="1"/>
  <c r="L24" i="20" s="1"/>
  <c r="M24" i="20" s="1"/>
  <c r="N24" i="20" s="1"/>
  <c r="O24" i="20" s="1"/>
  <c r="P24" i="20" s="1"/>
  <c r="Q24" i="20" s="1"/>
  <c r="R24" i="20" s="1"/>
  <c r="S24" i="20" s="1"/>
  <c r="T24" i="20" s="1"/>
  <c r="U24" i="20" s="1"/>
  <c r="V24" i="20" s="1"/>
  <c r="O30" i="16"/>
  <c r="L50" i="16"/>
  <c r="H23" i="20"/>
  <c r="I23" i="20" s="1"/>
  <c r="H52" i="13"/>
  <c r="H45" i="13"/>
  <c r="H37" i="13"/>
  <c r="H26" i="13"/>
  <c r="J118" i="11"/>
  <c r="F16" i="12" s="1"/>
  <c r="F21" i="12" s="1"/>
  <c r="K118" i="11"/>
  <c r="G16" i="12" s="1"/>
  <c r="G21" i="12" s="1"/>
  <c r="G23" i="12" s="1"/>
  <c r="U118" i="9"/>
  <c r="T118" i="9"/>
  <c r="Q118" i="9"/>
  <c r="P118" i="9"/>
  <c r="O118" i="9"/>
  <c r="N118" i="9"/>
  <c r="M118" i="9"/>
  <c r="L118" i="9"/>
  <c r="U107" i="9"/>
  <c r="T107" i="9"/>
  <c r="Q107" i="9"/>
  <c r="P107" i="9"/>
  <c r="O107" i="9"/>
  <c r="N107" i="9"/>
  <c r="M107" i="9"/>
  <c r="L107" i="9"/>
  <c r="U93" i="9"/>
  <c r="T93" i="9"/>
  <c r="Q93" i="9"/>
  <c r="P93" i="9"/>
  <c r="O93" i="9"/>
  <c r="N93" i="9"/>
  <c r="M93" i="9"/>
  <c r="L93" i="9"/>
  <c r="U87" i="9"/>
  <c r="T87" i="9"/>
  <c r="Q87" i="9"/>
  <c r="P87" i="9"/>
  <c r="O87" i="9"/>
  <c r="N87" i="9"/>
  <c r="M87" i="9"/>
  <c r="L87" i="9"/>
  <c r="U76" i="9"/>
  <c r="T76" i="9"/>
  <c r="Q76" i="9"/>
  <c r="P76" i="9"/>
  <c r="O76" i="9"/>
  <c r="N76" i="9"/>
  <c r="M76" i="9"/>
  <c r="L76" i="9"/>
  <c r="U68" i="9"/>
  <c r="T68" i="9"/>
  <c r="Q68" i="9"/>
  <c r="P68" i="9"/>
  <c r="O68" i="9"/>
  <c r="N68" i="9"/>
  <c r="M68" i="9"/>
  <c r="L68" i="9"/>
  <c r="U63" i="9"/>
  <c r="T63" i="9"/>
  <c r="Q63" i="9"/>
  <c r="P63" i="9"/>
  <c r="O63" i="9"/>
  <c r="N63" i="9"/>
  <c r="M63" i="9"/>
  <c r="L63" i="9"/>
  <c r="U47" i="9"/>
  <c r="T47" i="9"/>
  <c r="Q47" i="9"/>
  <c r="P47" i="9"/>
  <c r="O47" i="9"/>
  <c r="N47" i="9"/>
  <c r="M47" i="9"/>
  <c r="L47" i="9"/>
  <c r="U28" i="9"/>
  <c r="U121" i="9" s="1"/>
  <c r="T28" i="9"/>
  <c r="Q28" i="9"/>
  <c r="P28" i="9"/>
  <c r="O28" i="9"/>
  <c r="N28" i="9"/>
  <c r="M28" i="9"/>
  <c r="L28" i="9"/>
  <c r="S117" i="9"/>
  <c r="S116" i="9"/>
  <c r="S115" i="9"/>
  <c r="S114" i="9"/>
  <c r="S113" i="9"/>
  <c r="S112" i="9"/>
  <c r="S111" i="9"/>
  <c r="S106" i="9"/>
  <c r="S105" i="9"/>
  <c r="S104" i="9"/>
  <c r="S103" i="9"/>
  <c r="S102" i="9"/>
  <c r="S101" i="9"/>
  <c r="S100" i="9"/>
  <c r="S99" i="9"/>
  <c r="S98" i="9"/>
  <c r="S97" i="9"/>
  <c r="S96" i="9"/>
  <c r="S92" i="9"/>
  <c r="S91" i="9"/>
  <c r="S90" i="9"/>
  <c r="S86" i="9"/>
  <c r="S85" i="9"/>
  <c r="S84" i="9"/>
  <c r="S83" i="9"/>
  <c r="S82" i="9"/>
  <c r="S81" i="9"/>
  <c r="S80" i="9"/>
  <c r="S79" i="9"/>
  <c r="S75" i="9"/>
  <c r="S74" i="9"/>
  <c r="S73" i="9"/>
  <c r="S72" i="9"/>
  <c r="S71" i="9"/>
  <c r="S67" i="9"/>
  <c r="S66" i="9"/>
  <c r="S62" i="9"/>
  <c r="S61" i="9"/>
  <c r="S60" i="9"/>
  <c r="S59" i="9"/>
  <c r="S58" i="9"/>
  <c r="S57" i="9"/>
  <c r="S56" i="9"/>
  <c r="S55" i="9"/>
  <c r="S54" i="9"/>
  <c r="S53" i="9"/>
  <c r="S52" i="9"/>
  <c r="S51" i="9"/>
  <c r="S50" i="9"/>
  <c r="S46" i="9"/>
  <c r="S45" i="9"/>
  <c r="S44" i="9"/>
  <c r="S43" i="9"/>
  <c r="S42" i="9"/>
  <c r="S41" i="9"/>
  <c r="S40" i="9"/>
  <c r="S39" i="9"/>
  <c r="S38" i="9"/>
  <c r="S37" i="9"/>
  <c r="S36" i="9"/>
  <c r="S35" i="9"/>
  <c r="S34" i="9"/>
  <c r="S33" i="9"/>
  <c r="S32" i="9"/>
  <c r="S31" i="9"/>
  <c r="S27" i="9"/>
  <c r="S26" i="9"/>
  <c r="S25" i="9"/>
  <c r="S24" i="9"/>
  <c r="S23" i="9"/>
  <c r="K117" i="9"/>
  <c r="I115" i="11" s="1"/>
  <c r="BT2" i="99" s="1"/>
  <c r="K116" i="9"/>
  <c r="K115" i="9"/>
  <c r="K114" i="9"/>
  <c r="I112" i="11" s="1"/>
  <c r="BQ2" i="99" s="1"/>
  <c r="K113" i="9"/>
  <c r="I111" i="11" s="1"/>
  <c r="BP2" i="99" s="1"/>
  <c r="K112" i="9"/>
  <c r="K111" i="9"/>
  <c r="K106" i="9"/>
  <c r="K105" i="9"/>
  <c r="K104" i="9"/>
  <c r="K103" i="9"/>
  <c r="K102" i="9"/>
  <c r="I101" i="11" s="1"/>
  <c r="BI2" i="99" s="1"/>
  <c r="K101" i="9"/>
  <c r="I100" i="11" s="1"/>
  <c r="BH2" i="99" s="1"/>
  <c r="K100" i="9"/>
  <c r="K99" i="9"/>
  <c r="K98" i="9"/>
  <c r="I97" i="11" s="1"/>
  <c r="BE2" i="99" s="1"/>
  <c r="K97" i="9"/>
  <c r="I96" i="11" s="1"/>
  <c r="BD2" i="99" s="1"/>
  <c r="K96" i="9"/>
  <c r="K92" i="9"/>
  <c r="K91" i="9"/>
  <c r="CA2" i="103" s="1"/>
  <c r="K90" i="9"/>
  <c r="BY2" i="103" s="1"/>
  <c r="K86" i="9"/>
  <c r="K85" i="9"/>
  <c r="K84" i="9"/>
  <c r="K83" i="9"/>
  <c r="K82" i="9"/>
  <c r="K81" i="9"/>
  <c r="K80" i="9"/>
  <c r="K79" i="9"/>
  <c r="K75" i="9"/>
  <c r="K74" i="9"/>
  <c r="K73" i="9"/>
  <c r="I72" i="11" s="1"/>
  <c r="AO2" i="99" s="1"/>
  <c r="K72" i="9"/>
  <c r="I71" i="11" s="1"/>
  <c r="AN2" i="99" s="1"/>
  <c r="K71" i="9"/>
  <c r="K67" i="9"/>
  <c r="K66" i="9"/>
  <c r="I65" i="11" s="1"/>
  <c r="AK2" i="99" s="1"/>
  <c r="K62" i="9"/>
  <c r="I61" i="11" s="1"/>
  <c r="K61" i="9"/>
  <c r="K60" i="9"/>
  <c r="K59" i="9"/>
  <c r="K58" i="9"/>
  <c r="K57" i="9"/>
  <c r="K56" i="9"/>
  <c r="K55" i="9"/>
  <c r="K54" i="9"/>
  <c r="I53" i="11" s="1"/>
  <c r="AB2" i="99" s="1"/>
  <c r="K53" i="9"/>
  <c r="K52" i="9"/>
  <c r="K51" i="9"/>
  <c r="I50" i="11" s="1"/>
  <c r="Y2" i="99" s="1"/>
  <c r="K50" i="9"/>
  <c r="K46" i="9"/>
  <c r="K45" i="9"/>
  <c r="K44" i="9"/>
  <c r="I43" i="11" s="1"/>
  <c r="U2" i="99" s="1"/>
  <c r="K43" i="9"/>
  <c r="K42" i="9"/>
  <c r="K41" i="9"/>
  <c r="K40" i="9"/>
  <c r="K39" i="9"/>
  <c r="K38" i="9"/>
  <c r="K37" i="9"/>
  <c r="K36" i="9"/>
  <c r="I35" i="11" s="1"/>
  <c r="M2" i="99" s="1"/>
  <c r="K35" i="9"/>
  <c r="K34" i="9"/>
  <c r="K33" i="9"/>
  <c r="K32" i="9"/>
  <c r="I31" i="11" s="1"/>
  <c r="I2" i="99" s="1"/>
  <c r="K31" i="9"/>
  <c r="S22" i="9"/>
  <c r="P121" i="9" l="1"/>
  <c r="Q121" i="9"/>
  <c r="E61" i="11"/>
  <c r="AJ2" i="99"/>
  <c r="I39" i="11"/>
  <c r="Q2" i="99" s="1"/>
  <c r="M118" i="95"/>
  <c r="L253" i="97"/>
  <c r="F23" i="12"/>
  <c r="F24" i="12"/>
  <c r="AK53" i="15"/>
  <c r="G26" i="12"/>
  <c r="G28" i="12" s="1"/>
  <c r="G30" i="12" s="1"/>
  <c r="R71" i="20"/>
  <c r="Q92" i="20"/>
  <c r="Q106" i="20" s="1"/>
  <c r="N121" i="9"/>
  <c r="O121" i="9"/>
  <c r="J23" i="20"/>
  <c r="I30" i="20"/>
  <c r="I32" i="20" s="1"/>
  <c r="H30" i="20"/>
  <c r="H32" i="20" s="1"/>
  <c r="H58" i="13"/>
  <c r="G101" i="9" s="1"/>
  <c r="S28" i="9"/>
  <c r="S68" i="9"/>
  <c r="I41" i="11"/>
  <c r="S2" i="99" s="1"/>
  <c r="I85" i="11"/>
  <c r="I33" i="11"/>
  <c r="K2" i="99" s="1"/>
  <c r="I56" i="11"/>
  <c r="AE2" i="99" s="1"/>
  <c r="I59" i="10"/>
  <c r="I70" i="11"/>
  <c r="AM2" i="99" s="1"/>
  <c r="I99" i="11"/>
  <c r="BG2" i="99" s="1"/>
  <c r="I110" i="11"/>
  <c r="BO2" i="99" s="1"/>
  <c r="I22" i="10"/>
  <c r="I30" i="11"/>
  <c r="H2" i="99" s="1"/>
  <c r="I26" i="10"/>
  <c r="I34" i="11"/>
  <c r="L2" i="99" s="1"/>
  <c r="I30" i="10"/>
  <c r="I38" i="11"/>
  <c r="P2" i="99" s="1"/>
  <c r="I34" i="10"/>
  <c r="I42" i="11"/>
  <c r="T2" i="99" s="1"/>
  <c r="I40" i="10"/>
  <c r="I49" i="11"/>
  <c r="X2" i="99" s="1"/>
  <c r="I48" i="10"/>
  <c r="I57" i="11"/>
  <c r="AF2" i="99" s="1"/>
  <c r="I66" i="10"/>
  <c r="I78" i="11"/>
  <c r="AR2" i="99" s="1"/>
  <c r="I70" i="10"/>
  <c r="I82" i="11"/>
  <c r="AV2" i="99" s="1"/>
  <c r="I76" i="10"/>
  <c r="I89" i="11"/>
  <c r="AZ2" i="99" s="1"/>
  <c r="I90" i="10"/>
  <c r="I104" i="11"/>
  <c r="BL2" i="99" s="1"/>
  <c r="S118" i="9"/>
  <c r="I37" i="11"/>
  <c r="O2" i="99" s="1"/>
  <c r="I43" i="10"/>
  <c r="I52" i="11"/>
  <c r="AA2" i="99" s="1"/>
  <c r="I60" i="11"/>
  <c r="AI2" i="99" s="1"/>
  <c r="I81" i="11"/>
  <c r="AU2" i="99" s="1"/>
  <c r="I95" i="11"/>
  <c r="BC2" i="99" s="1"/>
  <c r="I103" i="11"/>
  <c r="BK2" i="99" s="1"/>
  <c r="I45" i="10"/>
  <c r="I54" i="11"/>
  <c r="AC2" i="99" s="1"/>
  <c r="I49" i="10"/>
  <c r="I58" i="11"/>
  <c r="AG2" i="99" s="1"/>
  <c r="I67" i="10"/>
  <c r="I79" i="11"/>
  <c r="AS2" i="99" s="1"/>
  <c r="I71" i="10"/>
  <c r="I83" i="11"/>
  <c r="AW2" i="99" s="1"/>
  <c r="I77" i="10"/>
  <c r="I90" i="11"/>
  <c r="BA2" i="99" s="1"/>
  <c r="I91" i="10"/>
  <c r="I105" i="11"/>
  <c r="BM2" i="99" s="1"/>
  <c r="I45" i="11"/>
  <c r="I74" i="11"/>
  <c r="AQ2" i="99" s="1"/>
  <c r="I114" i="11"/>
  <c r="BS2" i="99" s="1"/>
  <c r="I24" i="10"/>
  <c r="I32" i="11"/>
  <c r="J2" i="99" s="1"/>
  <c r="I28" i="10"/>
  <c r="I36" i="11"/>
  <c r="N2" i="99" s="1"/>
  <c r="I32" i="10"/>
  <c r="I40" i="11"/>
  <c r="R2" i="99" s="1"/>
  <c r="I44" i="11"/>
  <c r="V2" i="99" s="1"/>
  <c r="I51" i="11"/>
  <c r="Z2" i="99" s="1"/>
  <c r="I55" i="11"/>
  <c r="AD2" i="99" s="1"/>
  <c r="I50" i="10"/>
  <c r="I59" i="11"/>
  <c r="AH2" i="99" s="1"/>
  <c r="I66" i="11"/>
  <c r="I73" i="11"/>
  <c r="AP2" i="99" s="1"/>
  <c r="I68" i="10"/>
  <c r="I80" i="11"/>
  <c r="AT2" i="99" s="1"/>
  <c r="I72" i="10"/>
  <c r="I84" i="11"/>
  <c r="AX2" i="99" s="1"/>
  <c r="I78" i="10"/>
  <c r="I91" i="11"/>
  <c r="I98" i="11"/>
  <c r="BF2" i="99" s="1"/>
  <c r="I88" i="10"/>
  <c r="I102" i="11"/>
  <c r="BJ2" i="99" s="1"/>
  <c r="I109" i="11"/>
  <c r="BN2" i="99" s="1"/>
  <c r="I113" i="11"/>
  <c r="BR2" i="99" s="1"/>
  <c r="S47" i="9"/>
  <c r="S63" i="9"/>
  <c r="S76" i="9"/>
  <c r="S87" i="9"/>
  <c r="S93" i="9"/>
  <c r="S107" i="9"/>
  <c r="I97" i="10"/>
  <c r="I29" i="10"/>
  <c r="I25" i="10"/>
  <c r="I37" i="10"/>
  <c r="I94" i="10"/>
  <c r="M121" i="9"/>
  <c r="I42" i="10"/>
  <c r="I62" i="10"/>
  <c r="T121" i="9"/>
  <c r="S121" i="9" s="1"/>
  <c r="G46" i="49" s="1"/>
  <c r="I33" i="10"/>
  <c r="I46" i="10"/>
  <c r="I63" i="10"/>
  <c r="I98" i="10"/>
  <c r="I95" i="10"/>
  <c r="I99" i="10"/>
  <c r="I96" i="10"/>
  <c r="I100" i="10"/>
  <c r="I84" i="10"/>
  <c r="I85" i="10"/>
  <c r="I89" i="10"/>
  <c r="I82" i="10"/>
  <c r="I86" i="10"/>
  <c r="I83" i="10"/>
  <c r="I87" i="10"/>
  <c r="I81" i="10"/>
  <c r="I69" i="10"/>
  <c r="I73" i="10"/>
  <c r="I60" i="10"/>
  <c r="I61" i="10"/>
  <c r="I55" i="10"/>
  <c r="I56" i="10"/>
  <c r="I47" i="10"/>
  <c r="I51" i="10"/>
  <c r="I44" i="10"/>
  <c r="I41" i="10"/>
  <c r="I52" i="10"/>
  <c r="I23" i="10"/>
  <c r="I27" i="10"/>
  <c r="I31" i="10"/>
  <c r="I35" i="10"/>
  <c r="I36" i="10"/>
  <c r="K118" i="9"/>
  <c r="K93" i="9"/>
  <c r="K87" i="9"/>
  <c r="K76" i="9"/>
  <c r="K68" i="9"/>
  <c r="K63" i="9"/>
  <c r="K47" i="9"/>
  <c r="L121" i="9"/>
  <c r="K107" i="9"/>
  <c r="E25" i="7"/>
  <c r="F24" i="7"/>
  <c r="F23" i="7"/>
  <c r="F22" i="7"/>
  <c r="F21" i="7"/>
  <c r="F20" i="7"/>
  <c r="F12" i="7"/>
  <c r="F11" i="7"/>
  <c r="F10" i="7"/>
  <c r="F9" i="7"/>
  <c r="J34" i="4"/>
  <c r="I34" i="4"/>
  <c r="H34" i="4"/>
  <c r="G34" i="4"/>
  <c r="F34" i="4"/>
  <c r="E34" i="4"/>
  <c r="K2" i="103" s="1"/>
  <c r="K32" i="4"/>
  <c r="O32" i="4" s="1"/>
  <c r="K31" i="4"/>
  <c r="O31" i="4" s="1"/>
  <c r="K30" i="4"/>
  <c r="O30" i="4" s="1"/>
  <c r="K29" i="4"/>
  <c r="O29" i="4" s="1"/>
  <c r="K27" i="4"/>
  <c r="K26" i="4"/>
  <c r="O26" i="4" s="1"/>
  <c r="K25" i="4"/>
  <c r="O25" i="4" s="1"/>
  <c r="K24" i="4"/>
  <c r="O24" i="4" s="1"/>
  <c r="K23" i="4"/>
  <c r="O23" i="4" s="1"/>
  <c r="K22" i="4"/>
  <c r="O22" i="4" s="1"/>
  <c r="K21" i="4"/>
  <c r="O21" i="4" s="1"/>
  <c r="K20" i="4"/>
  <c r="O20" i="4" s="1"/>
  <c r="L20" i="3"/>
  <c r="L19" i="3"/>
  <c r="L18" i="3"/>
  <c r="L17" i="3"/>
  <c r="L16" i="3"/>
  <c r="L15" i="3"/>
  <c r="L14" i="3"/>
  <c r="L13" i="3"/>
  <c r="L12" i="3"/>
  <c r="L11" i="3"/>
  <c r="L10" i="3"/>
  <c r="L9" i="3"/>
  <c r="L8" i="3"/>
  <c r="K22" i="3"/>
  <c r="J22" i="3"/>
  <c r="I22" i="3"/>
  <c r="R29" i="16" l="1"/>
  <c r="M2" i="103"/>
  <c r="U29" i="16"/>
  <c r="L2" i="103"/>
  <c r="E45" i="11"/>
  <c r="W2" i="99"/>
  <c r="I67" i="11"/>
  <c r="AL2" i="99"/>
  <c r="E91" i="11"/>
  <c r="BB2" i="99"/>
  <c r="E85" i="11"/>
  <c r="AY2" i="99"/>
  <c r="M120" i="95"/>
  <c r="L255" i="97"/>
  <c r="E42" i="6"/>
  <c r="G47" i="12"/>
  <c r="T2" i="100" s="1"/>
  <c r="F26" i="12"/>
  <c r="F28" i="12" s="1"/>
  <c r="F30" i="12" s="1"/>
  <c r="G32" i="12" s="1"/>
  <c r="R23" i="4"/>
  <c r="R26" i="4"/>
  <c r="R20" i="4"/>
  <c r="R92" i="20"/>
  <c r="R106" i="20" s="1"/>
  <c r="S71" i="20"/>
  <c r="O27" i="4"/>
  <c r="O34" i="4" s="1"/>
  <c r="I58" i="13"/>
  <c r="I60" i="13" s="1"/>
  <c r="J118" i="9"/>
  <c r="J68" i="9"/>
  <c r="I34" i="20"/>
  <c r="H34" i="20"/>
  <c r="K23" i="20"/>
  <c r="J30" i="20"/>
  <c r="J32" i="20" s="1"/>
  <c r="F25" i="7"/>
  <c r="J98" i="9" s="1"/>
  <c r="L22" i="3"/>
  <c r="K34" i="4"/>
  <c r="I75" i="11"/>
  <c r="I92" i="11"/>
  <c r="S120" i="9"/>
  <c r="I62" i="11"/>
  <c r="I46" i="11"/>
  <c r="I106" i="11"/>
  <c r="J76" i="9"/>
  <c r="G100" i="9"/>
  <c r="I116" i="11"/>
  <c r="I86" i="11"/>
  <c r="K121" i="9"/>
  <c r="J107" i="9"/>
  <c r="J93" i="9"/>
  <c r="J87" i="9"/>
  <c r="J63" i="9"/>
  <c r="J47" i="9"/>
  <c r="G55" i="1"/>
  <c r="H55" i="1" s="1"/>
  <c r="K22" i="9"/>
  <c r="BW2" i="103" s="1"/>
  <c r="K24" i="9"/>
  <c r="I23" i="11" s="1"/>
  <c r="D2" i="99" s="1"/>
  <c r="K23" i="9"/>
  <c r="K25" i="9"/>
  <c r="K26" i="9"/>
  <c r="I25" i="11" s="1"/>
  <c r="F2" i="99" s="1"/>
  <c r="K27" i="9"/>
  <c r="I26" i="11" s="1"/>
  <c r="L270" i="97" l="1"/>
  <c r="P2" i="103"/>
  <c r="E26" i="11"/>
  <c r="G2" i="99"/>
  <c r="J23" i="3"/>
  <c r="G98" i="20"/>
  <c r="G97" i="20"/>
  <c r="M116" i="95"/>
  <c r="L251" i="97"/>
  <c r="J121" i="9"/>
  <c r="G36" i="49"/>
  <c r="T71" i="20"/>
  <c r="S92" i="20"/>
  <c r="S106" i="20" s="1"/>
  <c r="L142" i="95"/>
  <c r="G77" i="20"/>
  <c r="G102" i="20"/>
  <c r="G89" i="20"/>
  <c r="G84" i="20"/>
  <c r="G80" i="20"/>
  <c r="G75" i="20"/>
  <c r="G39" i="20"/>
  <c r="G81" i="20"/>
  <c r="G101" i="20"/>
  <c r="G88" i="20"/>
  <c r="G83" i="20"/>
  <c r="G79" i="20"/>
  <c r="G74" i="20"/>
  <c r="G90" i="20"/>
  <c r="G76" i="20"/>
  <c r="G87" i="20"/>
  <c r="G91" i="20"/>
  <c r="G86" i="20"/>
  <c r="G82" i="20"/>
  <c r="G78" i="20"/>
  <c r="G73" i="20"/>
  <c r="G85" i="20"/>
  <c r="G72" i="20"/>
  <c r="G71" i="20"/>
  <c r="G92" i="20"/>
  <c r="J34" i="20"/>
  <c r="I36" i="20"/>
  <c r="L23" i="20"/>
  <c r="K30" i="20"/>
  <c r="K32" i="20" s="1"/>
  <c r="H36" i="20"/>
  <c r="H108" i="20" s="1"/>
  <c r="I21" i="11"/>
  <c r="B2" i="99" s="1"/>
  <c r="I17" i="10"/>
  <c r="I24" i="11"/>
  <c r="E2" i="99" s="1"/>
  <c r="I15" i="10"/>
  <c r="I22" i="11"/>
  <c r="C2" i="99" s="1"/>
  <c r="I19" i="10"/>
  <c r="I18" i="10"/>
  <c r="I16" i="10"/>
  <c r="K28" i="9"/>
  <c r="K120" i="9" s="1"/>
  <c r="I14" i="10"/>
  <c r="J122" i="9" l="1"/>
  <c r="CC2" i="103"/>
  <c r="G35" i="12"/>
  <c r="M114" i="95"/>
  <c r="M122" i="95" s="1"/>
  <c r="L249" i="97"/>
  <c r="L75" i="97"/>
  <c r="L97" i="97" s="1"/>
  <c r="U71" i="20"/>
  <c r="T92" i="20"/>
  <c r="T106" i="20" s="1"/>
  <c r="I108" i="20"/>
  <c r="I42" i="20" s="1"/>
  <c r="H42" i="20"/>
  <c r="K34" i="20"/>
  <c r="M23" i="20"/>
  <c r="L30" i="20"/>
  <c r="L32" i="20" s="1"/>
  <c r="J36" i="20"/>
  <c r="I27" i="11"/>
  <c r="I118" i="11" s="1"/>
  <c r="J95" i="95" s="1"/>
  <c r="J96" i="95" s="1"/>
  <c r="N87" i="95" s="1"/>
  <c r="J28" i="9"/>
  <c r="H60" i="20" l="1"/>
  <c r="DP2" i="103"/>
  <c r="L257" i="97"/>
  <c r="J120" i="9"/>
  <c r="V71" i="20"/>
  <c r="V92" i="20" s="1"/>
  <c r="V106" i="20" s="1"/>
  <c r="U92" i="20"/>
  <c r="U106" i="20" s="1"/>
  <c r="G37" i="12"/>
  <c r="I60" i="20"/>
  <c r="I50" i="20"/>
  <c r="I51" i="20"/>
  <c r="I61" i="20" s="1"/>
  <c r="J108" i="20"/>
  <c r="J42" i="20" s="1"/>
  <c r="H50" i="20"/>
  <c r="K36" i="20"/>
  <c r="L34" i="20"/>
  <c r="H51" i="20"/>
  <c r="H61" i="20" s="1"/>
  <c r="N23" i="20"/>
  <c r="M30" i="20"/>
  <c r="M32" i="20" s="1"/>
  <c r="H219" i="97" l="1"/>
  <c r="CB2" i="103"/>
  <c r="G39" i="12"/>
  <c r="R2" i="100"/>
  <c r="AK49" i="15"/>
  <c r="L269" i="97"/>
  <c r="L271" i="97" s="1"/>
  <c r="J51" i="20"/>
  <c r="J61" i="20" s="1"/>
  <c r="J60" i="20"/>
  <c r="J50" i="20"/>
  <c r="K108" i="20"/>
  <c r="K42" i="20" s="1"/>
  <c r="O23" i="20"/>
  <c r="G19" i="37"/>
  <c r="L36" i="20"/>
  <c r="L108" i="20" s="1"/>
  <c r="M34" i="20"/>
  <c r="N30" i="20"/>
  <c r="N32" i="20" s="1"/>
  <c r="I28" i="9"/>
  <c r="I63" i="9"/>
  <c r="I117" i="9"/>
  <c r="I82" i="9"/>
  <c r="I46" i="9"/>
  <c r="I111" i="9"/>
  <c r="I81" i="9"/>
  <c r="I56" i="9"/>
  <c r="I37" i="9"/>
  <c r="I118" i="9"/>
  <c r="I106" i="9"/>
  <c r="I84" i="9"/>
  <c r="I59" i="9"/>
  <c r="I40" i="9"/>
  <c r="I68" i="9"/>
  <c r="I101" i="9"/>
  <c r="I79" i="9"/>
  <c r="I54" i="9"/>
  <c r="I35" i="9"/>
  <c r="I53" i="9"/>
  <c r="I45" i="9"/>
  <c r="I73" i="9"/>
  <c r="I32" i="9"/>
  <c r="I90" i="9"/>
  <c r="I43" i="9"/>
  <c r="I38" i="9"/>
  <c r="I96" i="9"/>
  <c r="I116" i="9"/>
  <c r="I60" i="9"/>
  <c r="I22" i="9"/>
  <c r="I66" i="9"/>
  <c r="I25" i="9"/>
  <c r="I83" i="9"/>
  <c r="I86" i="9"/>
  <c r="I112" i="9"/>
  <c r="I75" i="9"/>
  <c r="I87" i="9"/>
  <c r="I103" i="9"/>
  <c r="I74" i="9"/>
  <c r="I52" i="9"/>
  <c r="I33" i="9"/>
  <c r="I76" i="9"/>
  <c r="I102" i="9"/>
  <c r="I80" i="9"/>
  <c r="I55" i="9"/>
  <c r="I36" i="9"/>
  <c r="I114" i="9"/>
  <c r="I97" i="9"/>
  <c r="I72" i="9"/>
  <c r="I50" i="9"/>
  <c r="I31" i="9"/>
  <c r="I42" i="9"/>
  <c r="I99" i="9"/>
  <c r="I104" i="9"/>
  <c r="I61" i="9"/>
  <c r="I47" i="9"/>
  <c r="I92" i="9"/>
  <c r="I67" i="9"/>
  <c r="I26" i="9"/>
  <c r="I98" i="9"/>
  <c r="I51" i="9"/>
  <c r="I113" i="9"/>
  <c r="I62" i="9"/>
  <c r="I24" i="9"/>
  <c r="I107" i="9"/>
  <c r="I93" i="9"/>
  <c r="I57" i="9"/>
  <c r="I85" i="9"/>
  <c r="I41" i="9"/>
  <c r="I115" i="9"/>
  <c r="I91" i="9"/>
  <c r="I44" i="9"/>
  <c r="I105" i="9"/>
  <c r="I58" i="9"/>
  <c r="I39" i="9"/>
  <c r="I27" i="9"/>
  <c r="I23" i="9"/>
  <c r="I100" i="9"/>
  <c r="I34" i="9"/>
  <c r="I71" i="9"/>
  <c r="G42" i="12" l="1"/>
  <c r="S2" i="100"/>
  <c r="K60" i="20"/>
  <c r="K51" i="20"/>
  <c r="K61" i="20" s="1"/>
  <c r="K50" i="20"/>
  <c r="P23" i="20"/>
  <c r="P30" i="20" s="1"/>
  <c r="P32" i="20" s="1"/>
  <c r="O30" i="20"/>
  <c r="O32" i="20" s="1"/>
  <c r="L42" i="20"/>
  <c r="N34" i="20"/>
  <c r="M36" i="20"/>
  <c r="L51" i="20" l="1"/>
  <c r="L61" i="20" s="1"/>
  <c r="DQ2" i="103"/>
  <c r="M108" i="20"/>
  <c r="M42" i="20" s="1"/>
  <c r="O34" i="20"/>
  <c r="O36" i="20" s="1"/>
  <c r="Q23" i="20"/>
  <c r="Q30" i="20" s="1"/>
  <c r="Q32" i="20" s="1"/>
  <c r="L50" i="20"/>
  <c r="L60" i="20"/>
  <c r="P34" i="20"/>
  <c r="N36" i="20"/>
  <c r="M50" i="20" l="1"/>
  <c r="M60" i="20"/>
  <c r="M51" i="20"/>
  <c r="M61" i="20" s="1"/>
  <c r="N108" i="20"/>
  <c r="N42" i="20" s="1"/>
  <c r="N50" i="20" s="1"/>
  <c r="O108" i="20"/>
  <c r="O42" i="20" s="1"/>
  <c r="R23" i="20"/>
  <c r="S23" i="20" s="1"/>
  <c r="P36" i="20"/>
  <c r="Q34" i="20"/>
  <c r="O60" i="20" l="1"/>
  <c r="O51" i="20"/>
  <c r="O61" i="20" s="1"/>
  <c r="R30" i="20"/>
  <c r="N60" i="20"/>
  <c r="N51" i="20"/>
  <c r="N61" i="20" s="1"/>
  <c r="O50" i="20"/>
  <c r="P108" i="20"/>
  <c r="P42" i="20" s="1"/>
  <c r="Q36" i="20"/>
  <c r="T23" i="20"/>
  <c r="S30" i="20"/>
  <c r="S32" i="20" s="1"/>
  <c r="R34" i="20" l="1"/>
  <c r="R32" i="20"/>
  <c r="P50" i="20"/>
  <c r="P51" i="20"/>
  <c r="P61" i="20" s="1"/>
  <c r="P60" i="20"/>
  <c r="Q108" i="20"/>
  <c r="Q42" i="20" s="1"/>
  <c r="S34" i="20"/>
  <c r="T30" i="20"/>
  <c r="T32" i="20" s="1"/>
  <c r="U23" i="20"/>
  <c r="R36" i="20" l="1"/>
  <c r="R108" i="20" s="1"/>
  <c r="R42" i="20" s="1"/>
  <c r="Q51" i="20"/>
  <c r="Q61" i="20" s="1"/>
  <c r="Q50" i="20"/>
  <c r="Q60" i="20"/>
  <c r="V23" i="20"/>
  <c r="V30" i="20" s="1"/>
  <c r="V32" i="20" s="1"/>
  <c r="U30" i="20"/>
  <c r="U32" i="20" s="1"/>
  <c r="T34" i="20"/>
  <c r="S36" i="20"/>
  <c r="R60" i="20" l="1"/>
  <c r="R51" i="20"/>
  <c r="R61" i="20" s="1"/>
  <c r="R50" i="20"/>
  <c r="S108" i="20"/>
  <c r="S42" i="20" s="1"/>
  <c r="T36" i="20"/>
  <c r="U34" i="20"/>
  <c r="V34" i="20"/>
  <c r="S51" i="20" l="1"/>
  <c r="S61" i="20" s="1"/>
  <c r="S50" i="20"/>
  <c r="S60" i="20"/>
  <c r="T108" i="20"/>
  <c r="T42" i="20" s="1"/>
  <c r="U36" i="20"/>
  <c r="V36" i="20"/>
  <c r="G45" i="16"/>
  <c r="L36" i="16"/>
  <c r="CW2" i="103" s="1"/>
  <c r="L42" i="16"/>
  <c r="DC2" i="103" s="1"/>
  <c r="G48" i="16" l="1"/>
  <c r="CQ2" i="103"/>
  <c r="J106" i="95"/>
  <c r="J110" i="95" s="1"/>
  <c r="I241" i="97"/>
  <c r="I245" i="97" s="1"/>
  <c r="T60" i="20"/>
  <c r="T50" i="20"/>
  <c r="T51" i="20"/>
  <c r="T61" i="20" s="1"/>
  <c r="U108" i="20"/>
  <c r="U42" i="20" s="1"/>
  <c r="V108" i="20"/>
  <c r="V42" i="20" s="1"/>
  <c r="DR2" i="103" s="1"/>
  <c r="L47" i="16"/>
  <c r="L43" i="16"/>
  <c r="DD2" i="103" s="1"/>
  <c r="L40" i="16"/>
  <c r="DA2" i="103" s="1"/>
  <c r="J45" i="16"/>
  <c r="D45" i="16"/>
  <c r="CN2" i="103" s="1"/>
  <c r="L37" i="16"/>
  <c r="CX2" i="103" s="1"/>
  <c r="L39" i="16"/>
  <c r="CZ2" i="103" s="1"/>
  <c r="L46" i="16"/>
  <c r="L44" i="16"/>
  <c r="DE2" i="103" s="1"/>
  <c r="L41" i="16"/>
  <c r="DB2" i="103" s="1"/>
  <c r="L38" i="16"/>
  <c r="CY2" i="103" s="1"/>
  <c r="F45" i="16"/>
  <c r="I45" i="16"/>
  <c r="H45" i="16"/>
  <c r="CR2" i="103" s="1"/>
  <c r="K45" i="16"/>
  <c r="I48" i="16" l="1"/>
  <c r="CS2" i="103"/>
  <c r="K48" i="16"/>
  <c r="M106" i="95" s="1"/>
  <c r="M110" i="95" s="1"/>
  <c r="CU2" i="103"/>
  <c r="F48" i="16"/>
  <c r="I106" i="95" s="1"/>
  <c r="I110" i="95" s="1"/>
  <c r="CP2" i="103"/>
  <c r="J48" i="16"/>
  <c r="CT2" i="103"/>
  <c r="D48" i="16"/>
  <c r="L45" i="16"/>
  <c r="H241" i="97"/>
  <c r="H245" i="97" s="1"/>
  <c r="L106" i="95"/>
  <c r="L110" i="95" s="1"/>
  <c r="K241" i="97"/>
  <c r="K245" i="97" s="1"/>
  <c r="V50" i="20"/>
  <c r="V51" i="20"/>
  <c r="V61" i="20" s="1"/>
  <c r="V60" i="20"/>
  <c r="U60" i="20"/>
  <c r="U51" i="20"/>
  <c r="U61" i="20" s="1"/>
  <c r="U50" i="20"/>
  <c r="G49" i="12"/>
  <c r="G51" i="12" s="1"/>
  <c r="G53" i="12" s="1"/>
  <c r="E53" i="12" s="1"/>
  <c r="H48" i="16"/>
  <c r="L241" i="97" l="1"/>
  <c r="L245" i="97" s="1"/>
  <c r="K73" i="95"/>
  <c r="K74" i="95" s="1"/>
  <c r="N66" i="95" s="1"/>
  <c r="R16" i="16"/>
  <c r="K106" i="95"/>
  <c r="K110" i="95" s="1"/>
  <c r="M112" i="95" s="1"/>
  <c r="J241" i="97"/>
  <c r="J245" i="97" s="1"/>
  <c r="L247" i="97" s="1"/>
  <c r="L48" i="16"/>
  <c r="M124" i="95" l="1"/>
  <c r="N99" i="95" s="1"/>
  <c r="N256" i="95" s="1"/>
  <c r="EC2" i="103" s="1"/>
  <c r="M144" i="97"/>
  <c r="M148" i="97" s="1"/>
  <c r="M48" i="16"/>
  <c r="L259" i="97"/>
  <c r="N234" i="97" s="1"/>
  <c r="N263" i="97" s="1"/>
  <c r="N273" i="97" s="1"/>
  <c r="DZ2" i="103" s="1"/>
  <c r="L261" i="97"/>
  <c r="G103" i="20"/>
  <c r="G25"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P26" authorId="0" shapeId="0" xr:uid="{00000000-0006-0000-1600-000001000000}">
      <text>
        <r>
          <rPr>
            <b/>
            <sz val="9"/>
            <color indexed="81"/>
            <rFont val="Tahoma"/>
            <family val="2"/>
          </rPr>
          <t>Commerce</t>
        </r>
        <r>
          <rPr>
            <sz val="9"/>
            <color indexed="81"/>
            <rFont val="Tahoma"/>
            <family val="2"/>
          </rPr>
          <t xml:space="preserve">
(e.g. deferred, cash flow only)</t>
        </r>
      </text>
    </comment>
    <comment ref="P40" authorId="0" shapeId="0" xr:uid="{00000000-0006-0000-1600-00000200000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F46" authorId="0" shapeId="0" xr:uid="{00000000-0006-0000-1B00-00000100000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8" authorId="0" shapeId="0" xr:uid="{00000000-0006-0000-1B00-00000200000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5" authorId="0" shapeId="0" xr:uid="{00000000-0006-0000-1B00-00000300000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18" authorId="0" shapeId="0" xr:uid="{00000000-0006-0000-2000-00000100000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xr:uid="{00000000-0006-0000-2000-00000200000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xr:uid="{00000000-0006-0000-2000-00000300000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xr:uid="{00000000-0006-0000-2000-000004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23" authorId="0" shapeId="0" xr:uid="{00000000-0006-0000-2100-00000100000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xr:uid="{00000000-0006-0000-2100-00000200000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xr:uid="{00000000-0006-0000-2100-00000300000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xr:uid="{00000000-0006-0000-2100-000004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H14" authorId="0" shapeId="0" xr:uid="{00000000-0006-0000-2200-00000100000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xr:uid="{00000000-0006-0000-2200-00000200000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32" authorId="0" shapeId="0" xr:uid="{00000000-0006-0000-2300-00000100000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Chapter 6 of </t>
        </r>
        <r>
          <rPr>
            <i/>
            <sz val="9"/>
            <color indexed="81"/>
            <rFont val="Tahoma"/>
            <family val="2"/>
          </rPr>
          <t>9% Competetive Housing Tax Credit Policies - 2018</t>
        </r>
        <r>
          <rPr>
            <sz val="9"/>
            <color indexed="81"/>
            <rFont val="Tahoma"/>
            <family val="2"/>
          </rPr>
          <t xml:space="preserve"> for more information.
</t>
        </r>
      </text>
    </comment>
  </commentList>
</comments>
</file>

<file path=xl/sharedStrings.xml><?xml version="1.0" encoding="utf-8"?>
<sst xmlns="http://schemas.openxmlformats.org/spreadsheetml/2006/main" count="7452" uniqueCount="2091">
  <si>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</si>
  <si>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</si>
  <si>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</si>
  <si>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</si>
  <si>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</si>
  <si>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</si>
  <si>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</si>
  <si>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</si>
  <si>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</si>
  <si>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</si>
  <si>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</si>
  <si>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</si>
  <si>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</si>
  <si>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</si>
  <si>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</si>
  <si>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</si>
  <si>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</si>
  <si>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</si>
  <si>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</si>
  <si>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</si>
  <si>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</si>
  <si>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</si>
  <si>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</si>
  <si>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</si>
  <si>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</si>
  <si>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</si>
  <si>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</si>
  <si>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</si>
  <si>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</si>
  <si>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</si>
  <si>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</si>
  <si>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</si>
  <si>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</si>
  <si>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</si>
  <si>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</si>
  <si>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</si>
  <si>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</si>
  <si>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</si>
  <si>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</si>
  <si>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</si>
  <si>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</si>
  <si>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</si>
  <si>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</si>
  <si>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</si>
  <si>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</si>
  <si>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</si>
  <si>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</si>
  <si>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</si>
  <si>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</si>
  <si>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</si>
  <si>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</si>
  <si>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</si>
  <si>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</si>
  <si>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</si>
  <si>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</si>
  <si>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</si>
  <si>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</si>
  <si>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</si>
  <si>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</si>
  <si>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</si>
  <si>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</si>
  <si>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</si>
  <si>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</si>
  <si>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</si>
  <si>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</si>
  <si>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</si>
  <si>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</si>
  <si>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</si>
  <si>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</si>
  <si>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</si>
  <si>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</si>
  <si>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</si>
  <si>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</si>
  <si>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</si>
  <si>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</si>
  <si>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</si>
  <si>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</si>
  <si>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</si>
  <si>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</si>
  <si>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</si>
  <si>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</si>
  <si>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</si>
  <si>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</si>
  <si>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</si>
  <si>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</si>
  <si>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</si>
  <si>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</si>
  <si>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</si>
  <si>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</si>
  <si>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</si>
  <si>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</si>
  <si>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</si>
  <si>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 xml:space="preserve">(e.g., Executed PSA/ Option)  </t>
  </si>
  <si>
    <t>Site Control</t>
  </si>
  <si>
    <t>Maximum Extensions</t>
  </si>
  <si>
    <t xml:space="preserve">(e.g., Must Waive Financing Contingency 6/30/08)  </t>
  </si>
  <si>
    <t>Closing</t>
  </si>
  <si>
    <t xml:space="preserve">(e.g., Must Close on December 31, 2008)  </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</si>
  <si>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</si>
  <si>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</si>
  <si>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</si>
  <si>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</si>
  <si>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</si>
  <si>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</si>
  <si>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</si>
  <si>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</si>
  <si>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</si>
  <si>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</si>
  <si>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</si>
  <si>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</si>
  <si>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</si>
  <si>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</si>
  <si>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</si>
  <si>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</si>
  <si>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</si>
  <si>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</si>
  <si>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</si>
  <si>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</si>
  <si>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</si>
  <si>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</si>
  <si>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</si>
  <si>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</si>
  <si>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</si>
  <si>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</si>
  <si>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</si>
  <si>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</si>
  <si>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</si>
  <si>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</si>
  <si>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</si>
  <si>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</si>
  <si>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</si>
  <si>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</si>
  <si>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</si>
  <si>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</si>
  <si>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</si>
  <si>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</si>
  <si>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</si>
  <si>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</si>
  <si>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</si>
  <si>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</si>
  <si>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</si>
  <si>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</si>
  <si>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</si>
  <si>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</si>
  <si>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</si>
  <si>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</si>
  <si>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</si>
  <si>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</si>
  <si>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</si>
  <si>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</si>
  <si>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</si>
  <si>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</si>
  <si>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</si>
  <si>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</si>
  <si>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</si>
  <si>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</si>
  <si>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</si>
  <si>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</si>
  <si>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</si>
  <si>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</si>
  <si>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</si>
  <si>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</si>
  <si>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</si>
  <si>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</si>
  <si>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</si>
  <si>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</si>
  <si>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</si>
  <si>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</si>
  <si>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</si>
  <si>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</si>
  <si>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</si>
  <si>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</si>
  <si>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</si>
  <si>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</si>
  <si>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</si>
  <si>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</si>
  <si>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</si>
  <si>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</si>
  <si>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</si>
  <si>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</si>
  <si>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</si>
  <si>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</si>
  <si>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</si>
  <si>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</si>
  <si>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</si>
  <si>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</si>
  <si>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</si>
  <si>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</si>
  <si>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</si>
  <si>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</si>
  <si>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</si>
  <si>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</si>
  <si>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</si>
  <si>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</si>
  <si>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</si>
  <si>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</si>
  <si>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</si>
  <si>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</si>
  <si>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</si>
  <si>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</si>
  <si>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</si>
  <si>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</si>
  <si>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</si>
  <si>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</si>
  <si>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</si>
  <si>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</si>
  <si>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</si>
  <si>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</si>
  <si>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</si>
  <si>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</si>
  <si>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</si>
  <si>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</si>
  <si>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</si>
  <si>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</si>
  <si>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</si>
  <si>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</si>
  <si>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</si>
  <si>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</si>
  <si>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</si>
  <si>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</si>
  <si>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</si>
  <si>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</si>
  <si>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</si>
  <si>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</si>
  <si>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</si>
  <si>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</si>
  <si>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</si>
  <si>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</si>
  <si>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</si>
  <si>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</si>
  <si>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</si>
  <si>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</si>
  <si>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</si>
  <si>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</si>
  <si>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</si>
  <si>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</si>
  <si>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</si>
  <si>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</si>
  <si>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</si>
  <si>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</si>
  <si>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</si>
  <si>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</si>
  <si>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</si>
  <si>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</si>
  <si>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</si>
  <si>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</si>
  <si>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</si>
  <si>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</si>
  <si>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</si>
  <si>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</si>
  <si>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</si>
  <si>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</si>
  <si>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</si>
  <si>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</si>
  <si>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</si>
  <si>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</si>
  <si>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</si>
  <si>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</si>
  <si>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</si>
  <si>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</si>
  <si>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</si>
  <si>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</si>
  <si>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</si>
  <si>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</si>
  <si>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</si>
  <si>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</si>
  <si>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</si>
  <si>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</si>
  <si>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</si>
  <si>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</si>
  <si>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</si>
  <si>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</si>
  <si>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</si>
  <si>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</si>
  <si>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</si>
  <si>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</si>
  <si>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</si>
  <si>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</si>
  <si>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</si>
  <si>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</si>
  <si>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</si>
  <si>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</si>
  <si>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</si>
  <si>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</si>
  <si>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</si>
  <si>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</si>
  <si>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</si>
  <si>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</si>
  <si>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</si>
  <si>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</si>
  <si>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</si>
  <si>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</si>
  <si>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</si>
  <si>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</si>
  <si>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</si>
  <si>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</si>
  <si>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</si>
  <si>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</si>
  <si>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</si>
  <si>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</si>
  <si>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</si>
  <si>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</si>
  <si>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</si>
  <si>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</si>
  <si>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</si>
  <si>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</si>
  <si>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</si>
  <si>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</si>
  <si>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</si>
  <si>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</si>
  <si>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</si>
  <si>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</si>
  <si>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 xml:space="preserve"> </t>
  </si>
  <si>
    <t>Total Residential Sources</t>
  </si>
  <si>
    <t>Permanent Financing - Non-Residential</t>
  </si>
  <si>
    <t>Total Non Residential Sources</t>
  </si>
  <si>
    <t>Date:</t>
  </si>
  <si>
    <t>Sources and Amounts of Revenue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</si>
  <si>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</si>
  <si>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</si>
  <si>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</si>
  <si>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</si>
  <si>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</si>
  <si>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</si>
  <si>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</si>
  <si>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</si>
  <si>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</si>
  <si>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</si>
  <si>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</si>
  <si>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</si>
  <si>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</si>
  <si>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</si>
  <si>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</si>
  <si>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</si>
  <si>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</si>
  <si>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</si>
  <si>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</si>
  <si>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</si>
  <si>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</si>
  <si>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</si>
  <si>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</si>
  <si>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</si>
  <si>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</si>
  <si>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</si>
  <si>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</si>
  <si>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</si>
  <si>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</si>
  <si>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</si>
  <si>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</si>
  <si>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</si>
  <si>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</si>
  <si>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</si>
  <si>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</si>
  <si>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</si>
  <si>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</si>
  <si>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</si>
  <si>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</si>
  <si>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</si>
  <si>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</si>
  <si>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</si>
  <si>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</si>
  <si>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</si>
  <si>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</si>
  <si>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</si>
  <si>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</si>
  <si>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</si>
  <si>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</si>
  <si>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</si>
  <si>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</si>
  <si>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</si>
  <si>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</si>
  <si>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</si>
  <si>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</si>
  <si>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</si>
  <si>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</si>
  <si>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</si>
  <si>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</si>
  <si>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</si>
  <si>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</si>
  <si>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</si>
  <si>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</si>
  <si>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</si>
  <si>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</si>
  <si>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</si>
  <si>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</si>
  <si>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</si>
  <si>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</si>
  <si>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</si>
  <si>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</si>
  <si>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</si>
  <si>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</si>
  <si>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</si>
  <si>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</si>
  <si>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</si>
  <si>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</si>
  <si>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</si>
  <si>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</si>
  <si>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</si>
  <si>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</si>
  <si>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</si>
  <si>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</si>
  <si>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</si>
  <si>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</si>
  <si>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</si>
  <si>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</si>
  <si>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</si>
  <si>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</si>
  <si>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</si>
  <si>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</si>
  <si>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</si>
  <si>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</si>
  <si>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</si>
  <si>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</si>
  <si>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</si>
  <si>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Total Hard Debt Service</t>
  </si>
  <si>
    <t>Debt Coverage Ratio (Hard Debt)</t>
  </si>
  <si>
    <t>Soft Debt</t>
  </si>
  <si>
    <t>Lender 4</t>
  </si>
  <si>
    <t>Lender 5</t>
  </si>
  <si>
    <t>Lender 6</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</si>
  <si>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</si>
  <si>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</si>
  <si>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</si>
  <si>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</si>
  <si>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</si>
  <si>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</si>
  <si>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</si>
  <si>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</si>
  <si>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</si>
  <si>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</si>
  <si>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</si>
  <si>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</si>
  <si>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</si>
  <si>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</si>
  <si>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</si>
  <si>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</si>
  <si>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</si>
  <si>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</si>
  <si>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</si>
  <si>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</si>
  <si>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</si>
  <si>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</si>
  <si>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</si>
  <si>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</si>
  <si>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</si>
  <si>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</si>
  <si>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</si>
  <si>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</si>
  <si>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</si>
  <si>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</si>
  <si>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</si>
  <si>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</si>
  <si>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</si>
  <si>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</si>
  <si>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</si>
  <si>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</si>
  <si>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</si>
  <si>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</si>
  <si>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</si>
  <si>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</si>
  <si>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</si>
  <si>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</si>
  <si>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</si>
  <si>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</si>
  <si>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</si>
  <si>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</si>
  <si>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</si>
  <si>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</si>
  <si>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</si>
  <si>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</si>
  <si>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</si>
  <si>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</si>
  <si>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</si>
  <si>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</si>
  <si>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</si>
  <si>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</si>
  <si>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</si>
  <si>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</si>
  <si>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</si>
  <si>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</si>
  <si>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</si>
  <si>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</si>
  <si>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</si>
  <si>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</si>
  <si>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</si>
  <si>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</si>
  <si>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</si>
  <si>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</si>
  <si>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</si>
  <si>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</si>
  <si>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</si>
  <si>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</si>
  <si>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</si>
  <si>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</si>
  <si>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</si>
  <si>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</si>
  <si>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</si>
  <si>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</si>
  <si>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</si>
  <si>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</si>
  <si>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</si>
  <si>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</si>
  <si>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</si>
  <si>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</si>
  <si>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</si>
  <si>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</si>
  <si>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</si>
  <si>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</si>
  <si>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</si>
  <si>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</si>
  <si>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</si>
  <si>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</si>
  <si>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</si>
  <si>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</si>
  <si>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</si>
  <si>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</si>
  <si>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</si>
  <si>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</si>
  <si>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</si>
  <si>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</si>
  <si>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</si>
  <si>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</si>
  <si>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</si>
  <si>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</si>
  <si>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</si>
  <si>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</si>
  <si>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</si>
  <si>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</si>
  <si>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</si>
  <si>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</si>
  <si>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</si>
  <si>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</si>
  <si>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</si>
  <si>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</si>
  <si>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</si>
  <si>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</si>
  <si>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</si>
  <si>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</si>
  <si>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</si>
  <si>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</si>
  <si>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</si>
  <si>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</si>
  <si>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</si>
  <si>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</si>
  <si>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</si>
  <si>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</si>
  <si>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</si>
  <si>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</si>
  <si>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</si>
  <si>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</si>
  <si>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</si>
  <si>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</si>
  <si>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</si>
  <si>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</si>
  <si>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</si>
  <si>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</si>
  <si>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</si>
  <si>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</si>
  <si>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</si>
  <si>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</si>
  <si>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</si>
  <si>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</si>
  <si>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</si>
  <si>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</si>
  <si>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</si>
  <si>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</si>
  <si>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</si>
  <si>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</si>
  <si>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</si>
  <si>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</si>
  <si>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</si>
  <si>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</si>
  <si>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</si>
  <si>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</si>
  <si>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</si>
  <si>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</si>
  <si>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</si>
  <si>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</si>
  <si>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</si>
  <si>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</si>
  <si>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</si>
  <si>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</si>
  <si>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</si>
  <si>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</si>
  <si>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</si>
  <si>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</si>
  <si>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</si>
  <si>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</si>
  <si>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</si>
  <si>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</si>
  <si>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</si>
  <si>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</si>
  <si>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</si>
  <si>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</si>
  <si>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</si>
  <si>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</si>
  <si>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</si>
  <si>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</si>
  <si>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</si>
  <si>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</si>
  <si>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</si>
  <si>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</si>
  <si>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</si>
  <si>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</si>
  <si>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</si>
  <si>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</si>
  <si>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</si>
  <si>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</si>
  <si>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</si>
  <si>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</si>
  <si>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</si>
  <si>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</si>
  <si>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</si>
  <si>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</si>
  <si>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</si>
  <si>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</si>
  <si>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</si>
  <si>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</si>
  <si>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</si>
  <si>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</si>
  <si>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</si>
  <si>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</si>
  <si>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</si>
  <si>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</si>
  <si>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</si>
  <si>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</si>
  <si>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</si>
  <si>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</si>
  <si>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</si>
  <si>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</si>
  <si>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</si>
  <si>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Fund_Source</t>
  </si>
  <si>
    <t>Job Title</t>
  </si>
  <si>
    <t>Operating Personnel Expenses for First Year of Project</t>
  </si>
  <si>
    <t>Operating  Sources</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</si>
  <si>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</si>
  <si>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</si>
  <si>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</si>
  <si>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</si>
  <si>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</si>
  <si>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</si>
  <si>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</si>
  <si>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</si>
  <si>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</si>
  <si>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</si>
  <si>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</si>
  <si>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</si>
  <si>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</si>
  <si>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</si>
  <si>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</si>
  <si>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</si>
  <si>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</si>
  <si>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</si>
  <si>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</si>
  <si>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</si>
  <si>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</si>
  <si>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</si>
  <si>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</si>
  <si>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</si>
  <si>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</si>
  <si>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</si>
  <si>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</si>
  <si>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</si>
  <si>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</si>
  <si>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</si>
  <si>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</si>
  <si>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Capital Sources (cell F48) must match Total Sources on Form 6A (cell 118)</t>
  </si>
  <si>
    <t>All Sources must be identified as Grant or Loan</t>
  </si>
  <si>
    <t>Service Funding Starts</t>
  </si>
  <si>
    <t>Funding for services awarded</t>
  </si>
  <si>
    <t>Application for Service funding</t>
  </si>
  <si>
    <t>Permanent Financing Conversion</t>
  </si>
  <si>
    <t>Begin Construction</t>
  </si>
  <si>
    <t>OK / Concern</t>
  </si>
  <si>
    <t>Rationale for Concern</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</si>
  <si>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</si>
  <si>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</si>
  <si>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</si>
  <si>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</si>
  <si>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</si>
  <si>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</si>
  <si>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</si>
  <si>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</si>
  <si>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</si>
  <si>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</si>
  <si>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</si>
  <si>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</si>
  <si>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</si>
  <si>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</si>
  <si>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</si>
  <si>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</si>
  <si>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</si>
  <si>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</si>
  <si>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</si>
  <si>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</si>
  <si>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</si>
  <si>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</si>
  <si>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</si>
  <si>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</si>
  <si>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</si>
  <si>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</si>
  <si>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</si>
  <si>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</si>
  <si>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</si>
  <si>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</si>
  <si>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</si>
  <si>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</si>
  <si>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</si>
  <si>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</si>
  <si>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</si>
  <si>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</si>
  <si>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</si>
  <si>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</si>
  <si>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</si>
  <si>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</si>
  <si>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</si>
  <si>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</si>
  <si>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</si>
  <si>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</si>
  <si>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</si>
  <si>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</si>
  <si>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</si>
  <si>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</si>
  <si>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</si>
  <si>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</si>
  <si>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</si>
  <si>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</si>
  <si>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</si>
  <si>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</si>
  <si>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</si>
  <si>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</si>
  <si>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</si>
  <si>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</si>
  <si>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</si>
  <si>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</si>
  <si>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</si>
  <si>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</si>
  <si>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</si>
  <si>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</si>
  <si>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</si>
  <si>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</si>
  <si>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</si>
  <si>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</si>
  <si>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</si>
  <si>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</si>
  <si>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</si>
  <si>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</si>
  <si>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</si>
  <si>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</si>
  <si>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</si>
  <si>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</si>
  <si>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</si>
  <si>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</si>
  <si>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</si>
  <si>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</si>
  <si>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</si>
  <si>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</si>
  <si>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</si>
  <si>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</si>
  <si>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</si>
  <si>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</si>
  <si>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</si>
  <si>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</si>
  <si>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</si>
  <si>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</si>
  <si>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</si>
  <si>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</si>
  <si>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</si>
  <si>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</si>
  <si>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</si>
  <si>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</si>
  <si>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</si>
  <si>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</si>
  <si>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</si>
  <si>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</si>
  <si>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</si>
  <si>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</si>
  <si>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</si>
  <si>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</si>
  <si>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</si>
  <si>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</si>
  <si>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</si>
  <si>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</si>
  <si>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</si>
  <si>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</si>
  <si>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</si>
  <si>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</si>
  <si>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</si>
  <si>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</si>
  <si>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</si>
  <si>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</si>
  <si>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</si>
  <si>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</si>
  <si>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</si>
  <si>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</si>
  <si>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</si>
  <si>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</si>
  <si>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</si>
  <si>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</si>
  <si>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</si>
  <si>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</si>
  <si>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</si>
  <si>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</si>
  <si>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</si>
  <si>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</si>
  <si>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</si>
  <si>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</si>
  <si>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</si>
  <si>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</si>
  <si>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</si>
  <si>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</si>
  <si>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</si>
  <si>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</si>
  <si>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</si>
  <si>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</si>
  <si>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</si>
  <si>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</si>
  <si>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</si>
  <si>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</si>
  <si>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</si>
  <si>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</si>
  <si>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</si>
  <si>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</si>
  <si>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</si>
  <si>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</si>
  <si>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</si>
  <si>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</si>
  <si>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</si>
  <si>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</si>
  <si>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</si>
  <si>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</si>
  <si>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</si>
  <si>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</si>
  <si>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</si>
  <si>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</si>
  <si>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</si>
  <si>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</si>
  <si>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</si>
  <si>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</si>
  <si>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</si>
  <si>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</si>
  <si>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</si>
  <si>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</si>
  <si>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</si>
  <si>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</si>
  <si>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</si>
  <si>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</si>
  <si>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</si>
  <si>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</si>
  <si>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</si>
  <si>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</si>
  <si>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</si>
  <si>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</si>
  <si>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</si>
  <si>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</si>
  <si>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</si>
  <si>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</si>
  <si>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</si>
  <si>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</si>
  <si>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</si>
  <si>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</si>
  <si>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</si>
  <si>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</si>
  <si>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</si>
  <si>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</si>
  <si>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</si>
  <si>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</si>
  <si>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</si>
  <si>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</si>
  <si>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</si>
  <si>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</si>
  <si>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</si>
  <si>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</si>
  <si>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</si>
  <si>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</si>
  <si>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</si>
  <si>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</si>
  <si>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</si>
  <si>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</si>
  <si>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</si>
  <si>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</si>
  <si>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</si>
  <si>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</si>
  <si>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</si>
  <si>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</si>
  <si>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</si>
  <si>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</si>
  <si>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</si>
  <si>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</si>
  <si>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</si>
  <si>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</si>
  <si>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</si>
  <si>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</si>
  <si>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</si>
  <si>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</si>
  <si>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</si>
  <si>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</si>
  <si>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</si>
  <si>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</si>
  <si>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</si>
  <si>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</si>
  <si>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</si>
  <si>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</si>
  <si>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</si>
  <si>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</si>
  <si>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</si>
  <si>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</si>
  <si>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</si>
  <si>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</si>
  <si>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</si>
  <si>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</si>
  <si>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</si>
  <si>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</si>
  <si>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</si>
  <si>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</si>
  <si>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</si>
  <si>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</si>
  <si>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</si>
  <si>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</si>
  <si>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</si>
  <si>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</si>
  <si>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</si>
  <si>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</si>
  <si>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</si>
  <si>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</si>
  <si>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</si>
  <si>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</si>
  <si>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</si>
  <si>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</si>
  <si>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</si>
  <si>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</si>
  <si>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</si>
  <si>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</si>
  <si>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</si>
  <si>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</si>
  <si>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</si>
  <si>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</si>
  <si>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</si>
  <si>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</si>
  <si>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</si>
  <si>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</si>
  <si>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</si>
  <si>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</si>
  <si>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</si>
  <si>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</si>
  <si>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</si>
  <si>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</si>
  <si>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</si>
  <si>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</si>
  <si>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</si>
  <si>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</si>
  <si>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</si>
  <si>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</si>
  <si>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</si>
  <si>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</si>
  <si>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</si>
  <si>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</si>
  <si>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</si>
  <si>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</si>
  <si>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</si>
  <si>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</si>
  <si>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</si>
  <si>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</si>
  <si>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</si>
  <si>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</si>
  <si>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</si>
  <si>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</si>
  <si>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</si>
  <si>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</si>
  <si>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</si>
  <si>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</si>
  <si>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</si>
  <si>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</si>
  <si>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</si>
  <si>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</si>
  <si>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</si>
  <si>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</si>
  <si>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</si>
  <si>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</si>
  <si>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</si>
  <si>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</si>
  <si>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</si>
  <si>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</si>
  <si>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</si>
  <si>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</si>
  <si>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</si>
  <si>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</si>
  <si>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</si>
  <si>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</si>
  <si>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</si>
  <si>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</si>
  <si>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</si>
  <si>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</si>
  <si>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</si>
  <si>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</si>
  <si>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</si>
  <si>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</si>
  <si>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</si>
  <si>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</si>
  <si>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</si>
  <si>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</si>
  <si>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</si>
  <si>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</si>
  <si>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</si>
  <si>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</si>
  <si>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</si>
  <si>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</si>
  <si>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</si>
  <si>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</si>
  <si>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</si>
  <si>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</si>
  <si>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</si>
  <si>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</si>
  <si>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</si>
  <si>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</si>
  <si>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</si>
  <si>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</si>
  <si>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</si>
  <si>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</si>
  <si>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</si>
  <si>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</si>
  <si>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</si>
  <si>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</si>
  <si>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</si>
  <si>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</si>
  <si>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</si>
  <si>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</si>
  <si>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</si>
  <si>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</si>
  <si>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</si>
  <si>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</si>
  <si>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</si>
  <si>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</si>
  <si>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</si>
  <si>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</si>
  <si>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</si>
  <si>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</si>
  <si>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</si>
  <si>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</si>
  <si>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</si>
  <si>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</si>
  <si>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</si>
  <si>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</si>
  <si>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</si>
  <si>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</si>
  <si>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</si>
  <si>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</si>
  <si>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</si>
  <si>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</si>
  <si>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</si>
  <si>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</si>
  <si>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</si>
  <si>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</si>
  <si>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</si>
  <si>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</si>
  <si>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</si>
  <si>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</si>
  <si>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</si>
  <si>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</si>
  <si>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</si>
  <si>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</si>
  <si>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</si>
  <si>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</si>
  <si>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</si>
  <si>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</si>
  <si>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</si>
  <si>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</si>
  <si>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</si>
  <si>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</si>
  <si>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</si>
  <si>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</si>
  <si>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</si>
  <si>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</si>
  <si>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</si>
  <si>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</si>
  <si>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</si>
  <si>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</si>
  <si>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</si>
  <si>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</si>
  <si>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</si>
  <si>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</si>
  <si>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</si>
  <si>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</si>
  <si>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</si>
  <si>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</si>
  <si>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</si>
  <si>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</si>
  <si>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</si>
  <si>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</si>
  <si>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</si>
  <si>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</si>
  <si>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</si>
  <si>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</si>
  <si>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</si>
  <si>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</si>
  <si>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</si>
  <si>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</si>
  <si>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</si>
  <si>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</si>
  <si>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</si>
  <si>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</si>
  <si>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</si>
  <si>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</si>
  <si>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</si>
  <si>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</si>
  <si>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</si>
  <si>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</si>
  <si>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</si>
  <si>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</si>
  <si>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</si>
  <si>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</si>
  <si>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</si>
  <si>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</si>
  <si>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</si>
  <si>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</si>
  <si>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</si>
  <si>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</si>
  <si>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</si>
  <si>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</si>
  <si>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</si>
  <si>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</si>
  <si>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</si>
  <si>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</si>
  <si>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</si>
  <si>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</si>
  <si>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</si>
  <si>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</si>
  <si>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</si>
  <si>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</si>
  <si>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</si>
  <si>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</si>
  <si>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</si>
  <si>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</si>
  <si>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</si>
  <si>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</si>
  <si>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</si>
  <si>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</si>
  <si>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</si>
  <si>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</si>
  <si>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</si>
  <si>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</si>
  <si>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</si>
  <si>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</si>
  <si>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</si>
  <si>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</si>
  <si>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</si>
  <si>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</si>
  <si>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</si>
  <si>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</si>
  <si>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</si>
  <si>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</si>
  <si>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</si>
  <si>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</si>
  <si>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</si>
  <si>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</si>
  <si>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</si>
  <si>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</si>
  <si>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</si>
  <si>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</si>
  <si>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</si>
  <si>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</si>
  <si>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</si>
  <si>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 xml:space="preserve">75% of units set aside for Homeless  =  </t>
  </si>
  <si>
    <t>units</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</si>
  <si>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</si>
  <si>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</si>
  <si>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</si>
  <si>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</si>
  <si>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</si>
  <si>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Project is located in </t>
  </si>
  <si>
    <t>Select location</t>
  </si>
  <si>
    <t>Source of Funds:</t>
  </si>
  <si>
    <t>Amount of Funds:</t>
  </si>
  <si>
    <t>% of Total Project Cost: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</si>
  <si>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</si>
  <si>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</si>
  <si>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</si>
  <si>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</si>
  <si>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</si>
  <si>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</si>
  <si>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</si>
  <si>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</si>
  <si>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</si>
  <si>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</si>
  <si>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</si>
  <si>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</si>
  <si>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</si>
  <si>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</si>
  <si>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</si>
  <si>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</si>
  <si>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</si>
  <si>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</si>
  <si>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</si>
  <si>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</si>
  <si>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</si>
  <si>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</si>
  <si>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</si>
  <si>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</si>
  <si>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</si>
  <si>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</si>
  <si>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</si>
  <si>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</si>
  <si>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</si>
  <si>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</si>
  <si>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</si>
  <si>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</si>
  <si>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</si>
  <si>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</si>
  <si>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</si>
  <si>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</si>
  <si>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</si>
  <si>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</si>
  <si>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</si>
  <si>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</si>
  <si>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</si>
  <si>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</si>
  <si>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</si>
  <si>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</si>
  <si>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</si>
  <si>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</si>
  <si>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</si>
  <si>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</si>
  <si>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</si>
  <si>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</si>
  <si>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</si>
  <si>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</si>
  <si>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</si>
  <si>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 xml:space="preserve">COST CONTAINMENT INCENTIVE </t>
  </si>
  <si>
    <t>One Point will be awarded if the project is below the applicable TDC limit at the time of application.</t>
  </si>
  <si>
    <t>Percentage below applicable TDC Limit:</t>
  </si>
  <si>
    <t>TOTAL POINTS SELECTED BY APPLICANT</t>
  </si>
  <si>
    <t>Projects will be awarded One Point depending on how they compare to the applicable median Cost/SF in its TDC Limit Area.</t>
  </si>
  <si>
    <t>Cost / SF:</t>
  </si>
  <si>
    <t>TOTAL POINTS AWARDED</t>
  </si>
  <si>
    <t>Not located in a Higher Income County</t>
  </si>
  <si>
    <t>Benton</t>
  </si>
  <si>
    <t>Clark</t>
  </si>
  <si>
    <t>Franklin</t>
  </si>
  <si>
    <t>Island</t>
  </si>
  <si>
    <t>King</t>
  </si>
  <si>
    <t>Kitsap</t>
  </si>
  <si>
    <t xml:space="preserve">Pierce </t>
  </si>
  <si>
    <t>San Juan</t>
  </si>
  <si>
    <t>Skagit</t>
  </si>
  <si>
    <t>Skamania</t>
  </si>
  <si>
    <t>Snohomish</t>
  </si>
  <si>
    <t>Thurston</t>
  </si>
  <si>
    <t>Whatcom</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</si>
  <si>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</si>
  <si>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</si>
  <si>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</si>
  <si>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6:</t>
    </r>
    <r>
      <rPr>
        <sz val="11"/>
        <rFont val="Calibri"/>
        <family val="2"/>
      </rPr>
      <t xml:space="preserve">  Not Available in Higher Income Counties</t>
    </r>
  </si>
  <si>
    <r>
      <rPr>
        <b/>
        <sz val="11"/>
        <rFont val="Calibri"/>
        <family val="2"/>
      </rPr>
      <t>Option 12:</t>
    </r>
    <r>
      <rPr>
        <sz val="11"/>
        <rFont val="Calibri"/>
        <family val="2"/>
      </rPr>
      <t xml:space="preserve">  Not Available in Higher Income Counties</t>
    </r>
  </si>
  <si>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</si>
  <si>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</si>
  <si>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</si>
  <si>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</si>
  <si>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</si>
  <si>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</si>
  <si>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</si>
  <si>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</si>
  <si>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</si>
  <si>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</si>
  <si>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</si>
  <si>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</si>
  <si>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</si>
  <si>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</si>
  <si>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</si>
  <si>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</si>
  <si>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</si>
  <si>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</si>
  <si>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</si>
  <si>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</si>
  <si>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</si>
  <si>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</si>
  <si>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</si>
  <si>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</si>
  <si>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</si>
  <si>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</si>
  <si>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</si>
  <si>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</si>
  <si>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</si>
  <si>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</si>
  <si>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</si>
  <si>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</si>
  <si>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</si>
  <si>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</si>
  <si>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</si>
  <si>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</si>
  <si>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</si>
  <si>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</si>
  <si>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</si>
  <si>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</si>
  <si>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</si>
  <si>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</si>
  <si>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</si>
  <si>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</si>
  <si>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</si>
  <si>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</si>
  <si>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</si>
  <si>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</si>
  <si>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</si>
  <si>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</si>
  <si>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</si>
  <si>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75% of Total Housing Units as Supportive Housing for the Homeless - 35 Points</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</si>
  <si>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</si>
  <si>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</si>
  <si>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</si>
  <si>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</si>
  <si>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</si>
  <si>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</si>
  <si>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</si>
  <si>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King County</t>
  </si>
  <si>
    <t>Clark County</t>
  </si>
  <si>
    <t>Pierce County</t>
  </si>
  <si>
    <t>Spokane County</t>
  </si>
  <si>
    <t>Snohomish County</t>
  </si>
  <si>
    <t>Whatcom County</t>
  </si>
  <si>
    <t>a Non-Metro County.  This project is not eligible for these points.</t>
  </si>
  <si>
    <t>Select Source</t>
  </si>
  <si>
    <t>Land Donation</t>
  </si>
  <si>
    <t>Capital Grant</t>
  </si>
  <si>
    <t>Project-Based Rental Assistance</t>
  </si>
  <si>
    <t>Operating and Maintenance Subsidies</t>
  </si>
  <si>
    <t>Other funding type preapproved by the Commission</t>
  </si>
  <si>
    <t>HUD 202</t>
  </si>
  <si>
    <t>HUD 811</t>
  </si>
  <si>
    <t>USDA 514</t>
  </si>
  <si>
    <t>USDA 515</t>
  </si>
  <si>
    <t>Other federal source preapproved by the Commission</t>
  </si>
  <si>
    <t>NAHASDA Indian Housing Block Grant - NON-METRO COUNTIES ONLY</t>
  </si>
  <si>
    <t>King County and has selected #4 above.</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</si>
  <si>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</si>
  <si>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</si>
  <si>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</si>
  <si>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</si>
  <si>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</si>
  <si>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</si>
  <si>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</si>
  <si>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</si>
  <si>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</si>
  <si>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</si>
  <si>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</si>
  <si>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</si>
  <si>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and in a TOD location.</t>
  </si>
  <si>
    <t>a Metro County.  This project is not eligible for these points.</t>
  </si>
  <si>
    <t>King County and in a High or Very High Opportunity Area Census tract.</t>
  </si>
  <si>
    <t>in a Metro County and within 5 miles of</t>
  </si>
  <si>
    <t>in a Non-Metro County and within 10 miles of</t>
  </si>
  <si>
    <t>in King County and is not eligible for these points.</t>
  </si>
  <si>
    <t>Airway Heights</t>
  </si>
  <si>
    <t>Bainbridge Island</t>
  </si>
  <si>
    <t>Bonney Lake</t>
  </si>
  <si>
    <t>Bothell</t>
  </si>
  <si>
    <t>Clarkston</t>
  </si>
  <si>
    <t>Ephrata</t>
  </si>
  <si>
    <t>Everett</t>
  </si>
  <si>
    <t>Fife</t>
  </si>
  <si>
    <t>Kennewick</t>
  </si>
  <si>
    <t>Lacey</t>
  </si>
  <si>
    <t>Lakewood</t>
  </si>
  <si>
    <t>Moses Lake</t>
  </si>
  <si>
    <t>Mukilteo</t>
  </si>
  <si>
    <t>Olympia</t>
  </si>
  <si>
    <t>Pasco</t>
  </si>
  <si>
    <t>Port Angeles</t>
  </si>
  <si>
    <t>Pullman</t>
  </si>
  <si>
    <t>Richland</t>
  </si>
  <si>
    <t>Sequim</t>
  </si>
  <si>
    <t>South Hill</t>
  </si>
  <si>
    <t>Spokane Valley</t>
  </si>
  <si>
    <t>Sumner</t>
  </si>
  <si>
    <t>Sunnyside</t>
  </si>
  <si>
    <t>Vancouver</t>
  </si>
  <si>
    <t>Nonprofit Only</t>
  </si>
  <si>
    <t>For Profit Nonprofit Partnership</t>
  </si>
  <si>
    <t>Nonprofit Sponsor Waiver</t>
  </si>
  <si>
    <t>Select Additional Low-Income Set-Asides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</si>
  <si>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</si>
  <si>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</si>
  <si>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</si>
  <si>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</si>
  <si>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</si>
  <si>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</si>
  <si>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</si>
  <si>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</si>
  <si>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</si>
  <si>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</si>
  <si>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</si>
  <si>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</si>
  <si>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</si>
  <si>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</si>
  <si>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Five points will be awarded to Projects meeting the definition of Rehabilitation Project.</t>
  </si>
  <si>
    <t>Number of existing Housing Units to be rehabilitated:</t>
  </si>
  <si>
    <t>Total number of existing Housing Units in Project:</t>
  </si>
  <si>
    <t>Total number of new Housing Units in Project</t>
  </si>
  <si>
    <t xml:space="preserve">Three Points will be awarded to those Projects that provide nearby access to food and exceed the minimum Access to Services criterion of ESDS.  </t>
  </si>
  <si>
    <t>Onsite Community Garden</t>
  </si>
  <si>
    <t>Onsite Business / Learning Center</t>
  </si>
  <si>
    <t>Onsite Playground or Fitness Trail</t>
  </si>
  <si>
    <t xml:space="preserve">Covered and Secured Bicycle Storage </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</si>
  <si>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</si>
  <si>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</si>
  <si>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</si>
  <si>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</si>
  <si>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</si>
  <si>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</si>
  <si>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10% for Large Households - 5 Points</t>
  </si>
  <si>
    <t>5% of the Total Project Costs - 3 points</t>
  </si>
  <si>
    <t>10% of the Total Project Costs - 5 points</t>
  </si>
  <si>
    <t>15% of the Total Project Costs - 10 points</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</si>
  <si>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</si>
  <si>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</si>
  <si>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</si>
  <si>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</si>
  <si>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</si>
  <si>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</si>
  <si>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</si>
  <si>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</si>
  <si>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</si>
  <si>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</si>
  <si>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</si>
  <si>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</si>
  <si>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</si>
  <si>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</si>
  <si>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</si>
  <si>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</si>
  <si>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</si>
  <si>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</si>
  <si>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</si>
  <si>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</si>
  <si>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</si>
  <si>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</si>
  <si>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</si>
  <si>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</si>
  <si>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</si>
  <si>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</si>
  <si>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</si>
  <si>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</si>
  <si>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</si>
  <si>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</si>
  <si>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</si>
  <si>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</si>
  <si>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</si>
  <si>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</si>
  <si>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</si>
  <si>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</si>
  <si>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</si>
  <si>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</si>
  <si>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</si>
  <si>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</si>
  <si>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</si>
  <si>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</si>
  <si>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</si>
  <si>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</si>
  <si>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</si>
  <si>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</si>
  <si>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</si>
  <si>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</si>
  <si>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</si>
  <si>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</si>
  <si>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Tenant - Paid Utilities (Utility Allowance)</t>
  </si>
  <si>
    <t>1)</t>
  </si>
  <si>
    <r>
      <t xml:space="preserve">ADDITIONAL LOW-INCOME HOUSING SET-ASIDES </t>
    </r>
    <r>
      <rPr>
        <b/>
        <sz val="10"/>
        <color theme="6" tint="-0.249977111117893"/>
        <rFont val="Calibri"/>
        <family val="2"/>
      </rPr>
      <t>(4.1)</t>
    </r>
  </si>
  <si>
    <t>Must = Total Units Less CAU</t>
  </si>
  <si>
    <t>2)</t>
  </si>
  <si>
    <r>
      <t xml:space="preserve">ADDITIONAL LOW-INCOME HOUSING USE PERIOD </t>
    </r>
    <r>
      <rPr>
        <b/>
        <sz val="10"/>
        <color theme="6" tint="-0.249977111117893"/>
        <rFont val="Calibri"/>
        <family val="2"/>
      </rPr>
      <t>(4.2)</t>
    </r>
  </si>
  <si>
    <t>3)</t>
  </si>
  <si>
    <r>
      <t xml:space="preserve">HOUSING COMMITMENTS FOR PRIORITY POPULATIONS </t>
    </r>
    <r>
      <rPr>
        <b/>
        <sz val="10"/>
        <color theme="6" tint="-0.249977111117893"/>
        <rFont val="Calibri"/>
        <family val="2"/>
      </rPr>
      <t>(4.3)</t>
    </r>
  </si>
  <si>
    <t>pts</t>
  </si>
  <si>
    <r>
      <t>A portion of the project is a licensed assisted living facility</t>
    </r>
    <r>
      <rPr>
        <sz val="16"/>
        <color rgb="FFFF0000"/>
        <rFont val="Calibri"/>
        <family val="2"/>
      </rPr>
      <t>*</t>
    </r>
    <r>
      <rPr>
        <sz val="11"/>
        <color indexed="8"/>
        <rFont val="Calibri"/>
        <family val="2"/>
      </rPr>
      <t xml:space="preserve"> =</t>
    </r>
  </si>
  <si>
    <t>*Large Household points may not be taken</t>
  </si>
  <si>
    <t xml:space="preserve">                                                                                                                                                  </t>
  </si>
  <si>
    <t>4)</t>
  </si>
  <si>
    <r>
      <t xml:space="preserve">PROJECT-BASED RENTAL ASISTANCE </t>
    </r>
    <r>
      <rPr>
        <b/>
        <sz val="10"/>
        <color theme="6" tint="-0.249977111117893"/>
        <rFont val="Calibri"/>
        <family val="2"/>
      </rPr>
      <t>(4.4)</t>
    </r>
  </si>
  <si>
    <t>5)</t>
  </si>
  <si>
    <r>
      <t>PROJECT RENTAL ASSISTANCE (811)</t>
    </r>
    <r>
      <rPr>
        <b/>
        <sz val="10"/>
        <color theme="6" tint="-0.249977111117893"/>
        <rFont val="Calibri"/>
        <family val="2"/>
      </rPr>
      <t xml:space="preserve"> (4.5)</t>
    </r>
  </si>
  <si>
    <t>Note restriction:  no more than 25% of the total units in Eligible Multifamily Properties can: 1) be provided Section 811 PRA funds; 2) be used for supportive housing for persons with disabilities; or 3) have any occupancy preference for persons with disabilities.</t>
  </si>
  <si>
    <r>
      <rPr>
        <b/>
        <sz val="11"/>
        <rFont val="Calibri"/>
        <family val="2"/>
      </rPr>
      <t>6</t>
    </r>
    <r>
      <rPr>
        <b/>
        <sz val="10"/>
        <rFont val="Calibri"/>
        <family val="2"/>
      </rPr>
      <t>)</t>
    </r>
  </si>
  <si>
    <r>
      <t>LEVERAGING OF PUBLIC RESOURCES</t>
    </r>
    <r>
      <rPr>
        <b/>
        <sz val="10"/>
        <color theme="6" tint="-0.249977111117893"/>
        <rFont val="Calibri"/>
        <family val="2"/>
      </rPr>
      <t xml:space="preserve"> (4.6)</t>
    </r>
  </si>
  <si>
    <t>7)</t>
  </si>
  <si>
    <t>9)</t>
  </si>
  <si>
    <t>10)</t>
  </si>
  <si>
    <t>Total number of all Units</t>
  </si>
  <si>
    <t>% of Rehbilitated Units 80 or Above</t>
  </si>
  <si>
    <t>11)</t>
  </si>
  <si>
    <t>Five points will be awarded to Projects beyond year fifteen of the Extended Use Agreement
 meeting and will be preserving housing units under a new Agreement.</t>
  </si>
  <si>
    <t>12)</t>
  </si>
  <si>
    <t>13)</t>
  </si>
  <si>
    <t xml:space="preserve">Points will be awarded to projects that are located in the following types of properties.  Only one category may 
be selected.  </t>
  </si>
  <si>
    <t>14)</t>
  </si>
  <si>
    <t>15)</t>
  </si>
  <si>
    <t xml:space="preserve">Two points will be awarded to a Project that is located within the defined geographic boundaries of a planning document approved by the governing body of the local jurisdiction.  </t>
  </si>
  <si>
    <t>16)</t>
  </si>
  <si>
    <r>
      <t>Three points will be awarded to projects if they are located within a 10-minute walkshed of Fixed Transit Infrastructure that has “</t>
    </r>
    <r>
      <rPr>
        <b/>
        <sz val="11"/>
        <rFont val="Calibri"/>
        <family val="2"/>
        <scheme val="minor"/>
      </rPr>
      <t>high-capacity-transit-supportive density</t>
    </r>
    <r>
      <rPr>
        <sz val="11"/>
        <rFont val="Calibri"/>
        <family val="2"/>
        <scheme val="minor"/>
      </rPr>
      <t xml:space="preserve">.”  </t>
    </r>
  </si>
  <si>
    <t>17)</t>
  </si>
  <si>
    <t>Three points will be awarded to a Project that is located within the defined geographic boundaries of a Community Revitalization Plan (CRP).</t>
  </si>
  <si>
    <t>18)</t>
  </si>
  <si>
    <t xml:space="preserve">One point will be awarded to projects located in a census tract that is rated High or Very High on the Comprehensive Opportunity Index as defined by the Puget Sound Regional Council.   </t>
  </si>
  <si>
    <t>19)</t>
  </si>
  <si>
    <t>Three points will be awarded to Projects that qualify under one of the scenarios below.</t>
  </si>
  <si>
    <t>20)</t>
  </si>
  <si>
    <t>10 bps (.01%) of total bond amount or $10,000, whichever is greater - 4 points</t>
  </si>
  <si>
    <t>20 bps (.02%) of total bond amount or $20,000, whichever is greater - 8 points</t>
  </si>
  <si>
    <t>21)</t>
  </si>
  <si>
    <t>Onsite Fitness Center</t>
  </si>
  <si>
    <t>Onsite Media Room</t>
  </si>
  <si>
    <t>22)</t>
  </si>
  <si>
    <t xml:space="preserve">Two Points will be awarded for projects which are not regulated by HUD or RD and choose to use either Method 6 (Actual Usage Estimate) or Method 8 (Energy Consumption Model) of Appendix O of the Tax Credit Compliance Procedures Manual.  </t>
  </si>
  <si>
    <t>23)</t>
  </si>
  <si>
    <t>24)</t>
  </si>
  <si>
    <t>Five points will be awarded to no more than two projects in any Round for barrier breaking initiatives that can demonstrate innovation.</t>
  </si>
  <si>
    <t>2 year - 1 point</t>
  </si>
  <si>
    <t>4 years - 2 points</t>
  </si>
  <si>
    <t>6 years - 3 points</t>
  </si>
  <si>
    <t>8 years - 4 points</t>
  </si>
  <si>
    <t>10 years - 5 points</t>
  </si>
  <si>
    <t>12 years - 6 points</t>
  </si>
  <si>
    <t>14 years - 7 points</t>
  </si>
  <si>
    <t>16 years - 8 points</t>
  </si>
  <si>
    <t>18 years - 9 points</t>
  </si>
  <si>
    <t>20 years - 10 points</t>
  </si>
  <si>
    <t>22 years - 11 points</t>
  </si>
  <si>
    <t>Less than 16% of the low-income housing units - 2 points</t>
  </si>
  <si>
    <t>16-25% of the low-income housing units - 4 points</t>
  </si>
  <si>
    <t>26-50% of the low-income housing units - 6 points</t>
  </si>
  <si>
    <t xml:space="preserve">51-75% or more of the low-income housing units - 8 points </t>
  </si>
  <si>
    <t xml:space="preserve">76% or more of the low-income housing units - 10 points </t>
  </si>
  <si>
    <t>10% - 5 Points</t>
  </si>
  <si>
    <t>11% - 4 Points</t>
  </si>
  <si>
    <t>12% - 3 Points</t>
  </si>
  <si>
    <t>13% - 2 Points</t>
  </si>
  <si>
    <t>14% - 1 Point</t>
  </si>
  <si>
    <r>
      <rPr>
        <b/>
        <sz val="11"/>
        <rFont val="Calibri"/>
        <family val="2"/>
        <scheme val="minor"/>
      </rPr>
      <t>Option 4:</t>
    </r>
    <r>
      <rPr>
        <sz val="11"/>
        <rFont val="Calibri"/>
        <family val="2"/>
        <scheme val="minor"/>
      </rPr>
      <t xml:space="preserve"> Brownfield site - 6 points</t>
    </r>
  </si>
  <si>
    <t>Nonprofit Only - 3 Points</t>
  </si>
  <si>
    <t>For Profit / Nonprofit Partnership - 3 Points</t>
  </si>
  <si>
    <t>No Pts Taken</t>
  </si>
  <si>
    <t>Install a solar photovoltaic (PV) at least 13 Kilowatts - 3 points</t>
  </si>
  <si>
    <t>Install a solar hot water system (solar thermal) to provide for domestic water heating - 3 points</t>
  </si>
  <si>
    <t>Category A.  Supportive Housing for the Homeless (35 points)</t>
  </si>
  <si>
    <t>Percent of Units with Rental Assistance:</t>
  </si>
  <si>
    <t>Enter percent of units with PBRA</t>
  </si>
  <si>
    <t>AT-RISK OF LOSS OR MARKET CONVERSION</t>
  </si>
  <si>
    <t>At Risk Scenario</t>
  </si>
  <si>
    <t xml:space="preserve">Enter number of units at risk </t>
  </si>
  <si>
    <t>50% of Total Housing Units as Supportive Housing for the Homeless (Non-Metro only) - 35 Points</t>
  </si>
  <si>
    <t>0 points</t>
  </si>
  <si>
    <t>10% - 25% units = 2 points</t>
  </si>
  <si>
    <t>26% - 49% units = 3 points</t>
  </si>
  <si>
    <t>50% units or more = 4 points</t>
  </si>
  <si>
    <t>Scenario 1: Sale and conversion to market</t>
  </si>
  <si>
    <t>Scenario 2: Significant and immediate capital needs</t>
  </si>
  <si>
    <t>Scenario 3: (Non-Metro only) Housing Authority property in need of extensive rehabilitation</t>
  </si>
  <si>
    <t>Bremerton</t>
  </si>
  <si>
    <t>Burlington</t>
  </si>
  <si>
    <t>Camas</t>
  </si>
  <si>
    <t>Colville</t>
  </si>
  <si>
    <t>Edmonds</t>
  </si>
  <si>
    <t>Frederickson</t>
  </si>
  <si>
    <t>Kelso</t>
  </si>
  <si>
    <t>Lake Stevens</t>
  </si>
  <si>
    <t>Lynnwood</t>
  </si>
  <si>
    <t>Marysville</t>
  </si>
  <si>
    <t>Mount Vernon</t>
  </si>
  <si>
    <t>Mount Vista</t>
  </si>
  <si>
    <t>Oak Harbor</t>
  </si>
  <si>
    <t>Omak</t>
  </si>
  <si>
    <t>Orchards</t>
  </si>
  <si>
    <t>Othello</t>
  </si>
  <si>
    <t>Port Townsend</t>
  </si>
  <si>
    <t>Puyallup</t>
  </si>
  <si>
    <t>Quincy</t>
  </si>
  <si>
    <t>Sedro-Woolley</t>
  </si>
  <si>
    <t>Selah</t>
  </si>
  <si>
    <t>Silverdale</t>
  </si>
  <si>
    <t>Tacoma</t>
  </si>
  <si>
    <t>Woodland</t>
  </si>
  <si>
    <t>Select from list</t>
  </si>
  <si>
    <t>Form 8D: Operating Pro Forma (Page 2)</t>
  </si>
  <si>
    <t>Expected Placed-In-Service Date (MM/DD/YYYY)</t>
  </si>
  <si>
    <t>Rural:  within 2 miles of 4 services, one of which is a grocery store - 3 points</t>
  </si>
  <si>
    <t>NET OPERATING INCOME</t>
  </si>
  <si>
    <t xml:space="preserve"> ((EGI+Services Funding) - Total Expenses)</t>
  </si>
  <si>
    <t>Higher Income Counties</t>
  </si>
  <si>
    <t>higher_income</t>
  </si>
  <si>
    <t>Income Set-Asides - Higher Income Counties</t>
  </si>
  <si>
    <t>Inc_Higher</t>
  </si>
  <si>
    <r>
      <rPr>
        <b/>
        <sz val="11"/>
        <rFont val="Calibri"/>
        <family val="2"/>
      </rPr>
      <t>Option 4:</t>
    </r>
    <r>
      <rPr>
        <sz val="11"/>
        <rFont val="Calibri"/>
        <family val="2"/>
      </rPr>
      <t xml:space="preserve">  25% @ 30% AMI, 50% @ 40% AMI, 25% @ 60% AMI (56 Points)</t>
    </r>
  </si>
  <si>
    <r>
      <rPr>
        <b/>
        <sz val="11"/>
        <rFont val="Calibri"/>
        <family val="2"/>
      </rPr>
      <t>Option 5:</t>
    </r>
    <r>
      <rPr>
        <sz val="11"/>
        <rFont val="Calibri"/>
        <family val="2"/>
      </rPr>
      <t xml:space="preserve">  50% @ 30%, 25% @ 50% AMI, 25% @ 60% AMI (56 Points)</t>
    </r>
  </si>
  <si>
    <r>
      <rPr>
        <b/>
        <sz val="11"/>
        <rFont val="Calibri"/>
        <family val="2"/>
      </rPr>
      <t>Option 7:</t>
    </r>
    <r>
      <rPr>
        <sz val="11"/>
        <rFont val="Calibri"/>
        <family val="2"/>
      </rPr>
      <t xml:space="preserve">  50% @ 30% AMI, 10% @ 40% AMI, 40% @ 60% AMI (54 Points)</t>
    </r>
  </si>
  <si>
    <r>
      <rPr>
        <b/>
        <sz val="11"/>
        <rFont val="Calibri"/>
        <family val="2"/>
      </rPr>
      <t>Option 8</t>
    </r>
    <r>
      <rPr>
        <sz val="11"/>
        <rFont val="Calibri"/>
        <family val="2"/>
      </rPr>
      <t>:  Not Available in Higher Income Counties</t>
    </r>
  </si>
  <si>
    <r>
      <rPr>
        <b/>
        <sz val="11"/>
        <rFont val="Calibri"/>
        <family val="2"/>
      </rPr>
      <t>Option 9:</t>
    </r>
    <r>
      <rPr>
        <sz val="11"/>
        <rFont val="Calibri"/>
        <family val="2"/>
      </rPr>
      <t xml:space="preserve">  50% @ 40% AMI, 50% @ 50% AMI (56 Points)</t>
    </r>
  </si>
  <si>
    <r>
      <rPr>
        <b/>
        <sz val="11"/>
        <rFont val="Calibri"/>
        <family val="2"/>
      </rPr>
      <t>Option 10:</t>
    </r>
    <r>
      <rPr>
        <sz val="11"/>
        <rFont val="Calibri"/>
        <family val="2"/>
      </rPr>
      <t xml:space="preserve">  Not Available in Higher Income Counties</t>
    </r>
  </si>
  <si>
    <r>
      <rPr>
        <b/>
        <sz val="11"/>
        <rFont val="Calibri"/>
        <family val="2"/>
      </rPr>
      <t>Option 11:</t>
    </r>
    <r>
      <rPr>
        <sz val="11"/>
        <rFont val="Calibri"/>
        <family val="2"/>
      </rPr>
      <t xml:space="preserve">  10% @ 30% AMI, 30% @ 40% AMI, 60% @ 50% AMI (54 Points)</t>
    </r>
  </si>
  <si>
    <r>
      <rPr>
        <b/>
        <sz val="11"/>
        <rFont val="Calibri"/>
        <family val="2"/>
      </rPr>
      <t>Option 13:</t>
    </r>
    <r>
      <rPr>
        <sz val="11"/>
        <rFont val="Calibri"/>
        <family val="2"/>
      </rPr>
      <t xml:space="preserve">  Not Available in Higher Income Counties</t>
    </r>
  </si>
  <si>
    <r>
      <rPr>
        <b/>
        <sz val="11"/>
        <rFont val="Calibri"/>
        <family val="2"/>
      </rPr>
      <t xml:space="preserve">Option 14: </t>
    </r>
    <r>
      <rPr>
        <sz val="11"/>
        <rFont val="Calibri"/>
        <family val="2"/>
      </rPr>
      <t xml:space="preserve"> 40% @ 40% AMI, 50% @ 50% AMI, 10% @ 60% AMI (54 Points)</t>
    </r>
  </si>
  <si>
    <r>
      <rPr>
        <b/>
        <sz val="11"/>
        <rFont val="Calibri"/>
        <family val="2"/>
      </rPr>
      <t>Option 15:</t>
    </r>
    <r>
      <rPr>
        <sz val="11"/>
        <rFont val="Calibri"/>
        <family val="2"/>
      </rPr>
      <t xml:space="preserve">  25% @ 40% AMI, 75% @ 50% AMI (54 Points)</t>
    </r>
  </si>
  <si>
    <r>
      <rPr>
        <b/>
        <sz val="11"/>
        <rFont val="Calibri"/>
        <family val="2"/>
      </rPr>
      <t xml:space="preserve">Option 16: </t>
    </r>
    <r>
      <rPr>
        <sz val="11"/>
        <rFont val="Calibri"/>
        <family val="2"/>
      </rPr>
      <t xml:space="preserve"> Not Available in Higher Income Counties</t>
    </r>
  </si>
  <si>
    <r>
      <rPr>
        <b/>
        <sz val="11"/>
        <rFont val="Calibri"/>
        <family val="2"/>
      </rPr>
      <t>Option 17:</t>
    </r>
    <r>
      <rPr>
        <sz val="11"/>
        <rFont val="Calibri"/>
        <family val="2"/>
      </rPr>
      <t xml:space="preserve">  40% @ 40% AMI, 30@ 50% AMI, 30% @ 60% AMI (54 Points)</t>
    </r>
  </si>
  <si>
    <t>Lower Income Counties</t>
  </si>
  <si>
    <t>lower_income</t>
  </si>
  <si>
    <t>Income Set-Asides - Lower Income Counties</t>
  </si>
  <si>
    <t>Inc_Lower</t>
  </si>
  <si>
    <r>
      <rPr>
        <b/>
        <sz val="11"/>
        <rFont val="Calibri"/>
        <family val="2"/>
      </rPr>
      <t>Option 4:</t>
    </r>
    <r>
      <rPr>
        <sz val="11"/>
        <rFont val="Calibri"/>
        <family val="2"/>
      </rPr>
      <t xml:space="preserve">  25% @ 30% AMI, 50% @ 40% AMI, 25% @ 60% AMI (60 Points)</t>
    </r>
  </si>
  <si>
    <r>
      <rPr>
        <b/>
        <sz val="11"/>
        <rFont val="Calibri"/>
        <family val="2"/>
      </rPr>
      <t>Option 5:</t>
    </r>
    <r>
      <rPr>
        <sz val="11"/>
        <rFont val="Calibri"/>
        <family val="2"/>
      </rPr>
      <t xml:space="preserve">  Not Available in Lower Income Counties</t>
    </r>
  </si>
  <si>
    <r>
      <rPr>
        <b/>
        <sz val="11"/>
        <rFont val="Calibri"/>
        <family val="2"/>
      </rPr>
      <t>Option 7:</t>
    </r>
    <r>
      <rPr>
        <sz val="11"/>
        <rFont val="Calibri"/>
        <family val="2"/>
      </rPr>
      <t xml:space="preserve">  50% @ 30% AMI, 10% @ 40% AMI, 40% @ 60% AMI (60 Points)</t>
    </r>
  </si>
  <si>
    <r>
      <rPr>
        <b/>
        <sz val="11"/>
        <rFont val="Calibri"/>
        <family val="2"/>
      </rPr>
      <t>Option 8</t>
    </r>
    <r>
      <rPr>
        <sz val="11"/>
        <rFont val="Calibri"/>
        <family val="2"/>
      </rPr>
      <t>:  10% @ 30% AMI, 40% @ 40% AMI, 50% @ 50% AMI (58 Points)</t>
    </r>
  </si>
  <si>
    <r>
      <rPr>
        <b/>
        <sz val="11"/>
        <rFont val="Calibri"/>
        <family val="2"/>
      </rPr>
      <t>Option 9:</t>
    </r>
    <r>
      <rPr>
        <sz val="11"/>
        <rFont val="Calibri"/>
        <family val="2"/>
      </rPr>
      <t xml:space="preserve">  50% @ 40% AMI, 50% @ 50% AMI (58 Points)</t>
    </r>
  </si>
  <si>
    <r>
      <rPr>
        <b/>
        <sz val="11"/>
        <rFont val="Calibri"/>
        <family val="2"/>
      </rPr>
      <t>Option 10:</t>
    </r>
    <r>
      <rPr>
        <sz val="11"/>
        <rFont val="Calibri"/>
        <family val="2"/>
      </rPr>
      <t xml:space="preserve">  10% @ 30% AMI, 60% @ 40% AMI, 30% @ 60% AMI (58 Points)</t>
    </r>
  </si>
  <si>
    <r>
      <rPr>
        <b/>
        <sz val="11"/>
        <rFont val="Calibri"/>
        <family val="2"/>
      </rPr>
      <t>Option 11:</t>
    </r>
    <r>
      <rPr>
        <sz val="11"/>
        <rFont val="Calibri"/>
        <family val="2"/>
      </rPr>
      <t xml:space="preserve">  10% @ 30% AMI, 30% @ 40% AMI, 60% @ 50% AMI (58 Points)</t>
    </r>
  </si>
  <si>
    <r>
      <rPr>
        <b/>
        <sz val="11"/>
        <rFont val="Calibri"/>
        <family val="2"/>
      </rPr>
      <t>Option 12:</t>
    </r>
    <r>
      <rPr>
        <sz val="11"/>
        <rFont val="Calibri"/>
        <family val="2"/>
      </rPr>
      <t xml:space="preserve">  50% @ 40% AMI, 40% @ 50% AMI, 10% @ 60% AMI (56 Points)</t>
    </r>
  </si>
  <si>
    <r>
      <rPr>
        <b/>
        <sz val="11"/>
        <rFont val="Calibri"/>
        <family val="2"/>
      </rPr>
      <t>Option 13:</t>
    </r>
    <r>
      <rPr>
        <sz val="11"/>
        <rFont val="Calibri"/>
        <family val="2"/>
      </rPr>
      <t xml:space="preserve">  40% @ 40% AMI, 60% @ 50% AMI (56 Points)</t>
    </r>
  </si>
  <si>
    <r>
      <rPr>
        <b/>
        <sz val="11"/>
        <rFont val="Calibri"/>
        <family val="2"/>
      </rPr>
      <t xml:space="preserve">Option 14: </t>
    </r>
    <r>
      <rPr>
        <sz val="11"/>
        <rFont val="Calibri"/>
        <family val="2"/>
      </rPr>
      <t xml:space="preserve"> 40% @ 40% AMI, 50% @ 50% AMI, 10% @ 60% AMI (56 Points)</t>
    </r>
  </si>
  <si>
    <r>
      <rPr>
        <b/>
        <sz val="11"/>
        <rFont val="Calibri"/>
        <family val="2"/>
      </rPr>
      <t>Option 15:</t>
    </r>
    <r>
      <rPr>
        <sz val="11"/>
        <rFont val="Calibri"/>
        <family val="2"/>
      </rPr>
      <t xml:space="preserve">  25% @ 40% AMI, 75% @ 50% AMI (56 Points)</t>
    </r>
  </si>
  <si>
    <r>
      <rPr>
        <b/>
        <sz val="11"/>
        <rFont val="Calibri"/>
        <family val="2"/>
      </rPr>
      <t xml:space="preserve">Option 16: </t>
    </r>
    <r>
      <rPr>
        <sz val="11"/>
        <rFont val="Calibri"/>
        <family val="2"/>
      </rPr>
      <t xml:space="preserve"> 50% @ 40% AMI, 20% @ 50% AMI, 30% @ 60% AMI (56 Points)</t>
    </r>
  </si>
  <si>
    <r>
      <rPr>
        <b/>
        <sz val="11"/>
        <rFont val="Calibri"/>
        <family val="2"/>
      </rPr>
      <t>Option 17:</t>
    </r>
    <r>
      <rPr>
        <sz val="11"/>
        <rFont val="Calibri"/>
        <family val="2"/>
      </rPr>
      <t xml:space="preserve">  40% @ 40% AMI, 30@ 50% AMI, 30% @ 60% AMI (56 Points)</t>
    </r>
  </si>
  <si>
    <t>% of Units</t>
  </si>
  <si>
    <t>Inc_percent</t>
  </si>
  <si>
    <t>Years</t>
  </si>
  <si>
    <t>Homeless75</t>
  </si>
  <si>
    <t>SpecNeeds20</t>
  </si>
  <si>
    <t>Local Funding Counties</t>
  </si>
  <si>
    <t>local_funding_counties</t>
  </si>
  <si>
    <t>Leveraging Points</t>
  </si>
  <si>
    <t>Select Applicable Points</t>
  </si>
  <si>
    <t>leveraging_points</t>
  </si>
  <si>
    <t>King County 5-10% - 2 Points</t>
  </si>
  <si>
    <t>King County 11-20% - 4 Points</t>
  </si>
  <si>
    <t>King County 21-25% - 7 Points</t>
  </si>
  <si>
    <t>Metro 2-7% - 2 Points</t>
  </si>
  <si>
    <t>Metro 8-12% - 4 Points</t>
  </si>
  <si>
    <t>Metro 13-17% - 7 Points</t>
  </si>
  <si>
    <t>Non-Metro 2-7% - 2 points</t>
  </si>
  <si>
    <t>Non-Metro 8-15% - 4 Points</t>
  </si>
  <si>
    <t>Non-Metro 16-22% - 7 Points</t>
  </si>
  <si>
    <t>Local Funding Types</t>
  </si>
  <si>
    <t>local_funding_types</t>
  </si>
  <si>
    <t>Federal Funding Sources</t>
  </si>
  <si>
    <t>federal_funding_sources</t>
  </si>
  <si>
    <t>State Funding Coord</t>
  </si>
  <si>
    <t>KC_HTF</t>
  </si>
  <si>
    <t>PBRA_units</t>
  </si>
  <si>
    <t>DevFees</t>
  </si>
  <si>
    <t>AtRisk</t>
  </si>
  <si>
    <t>Historic</t>
  </si>
  <si>
    <t>Eligible Tribal Area</t>
  </si>
  <si>
    <t>Chehalis - Non-Metro (10 Points)</t>
  </si>
  <si>
    <t>eligible_tribes</t>
  </si>
  <si>
    <t>Colville - Non-Metro (10 Points)</t>
  </si>
  <si>
    <t>Hoh - Non-Metro (10 Points)</t>
  </si>
  <si>
    <t>Kalispel - Non-Metro (10 Points)</t>
  </si>
  <si>
    <t>Lower Elwha - Non-Metro (10 Points)</t>
  </si>
  <si>
    <t>Makah - Non-Metro (10 Points)</t>
  </si>
  <si>
    <t>Quileute - Non-Metro (10 Points)</t>
  </si>
  <si>
    <t>Quinault - Non-Metro (10 Points)</t>
  </si>
  <si>
    <t>Skokomish - Non-Metro (10 Points)</t>
  </si>
  <si>
    <t>Spokane - Non-Metro (10 Points)</t>
  </si>
  <si>
    <t>Squaxin Island - Non-Metro (10 Points)</t>
  </si>
  <si>
    <t>Upper Skagit - Non-Metro (10 Points)</t>
  </si>
  <si>
    <t>Yakama - Non-Metro (10 Points)</t>
  </si>
  <si>
    <t>Location Efficient Projects</t>
  </si>
  <si>
    <t>Location_eff</t>
  </si>
  <si>
    <t>King County TOD</t>
  </si>
  <si>
    <t>KC_only</t>
  </si>
  <si>
    <t>King County OppArea</t>
  </si>
  <si>
    <t>KC_OppArea</t>
  </si>
  <si>
    <t>Job Centers</t>
  </si>
  <si>
    <t>in_within</t>
  </si>
  <si>
    <t>job_centers</t>
  </si>
  <si>
    <t>NP Sponsor</t>
  </si>
  <si>
    <t>TDC_Limit</t>
  </si>
  <si>
    <r>
      <t>Calculation of Units -</t>
    </r>
    <r>
      <rPr>
        <b/>
        <u/>
        <sz val="11"/>
        <color rgb="FFFF0000"/>
        <rFont val="Calibri"/>
        <family val="2"/>
      </rPr>
      <t xml:space="preserve"> Please fill in green fields</t>
    </r>
  </si>
  <si>
    <t>LEVERAGE SCORING</t>
  </si>
  <si>
    <t>Points will be awarded to projects based on the percentage of "other sources leveraged" as a percentage of Total Project Costs.</t>
  </si>
  <si>
    <t>Enter name of Source</t>
  </si>
  <si>
    <t>Total Amount of Leveraging:</t>
  </si>
  <si>
    <t>Percentage of Total Project Costs:</t>
  </si>
  <si>
    <t>Points Earned</t>
  </si>
  <si>
    <t>PUBLIC LEVERAGE</t>
  </si>
  <si>
    <t>Two Points will be awarded to projects that have 50% or more public resources committed as part of the "other sources leveraged."</t>
  </si>
  <si>
    <t>Amount of Public Resources</t>
  </si>
  <si>
    <t>21A</t>
  </si>
  <si>
    <t>Project's Total Development Cost (from TDC Limit tab):</t>
  </si>
  <si>
    <t>21B</t>
  </si>
  <si>
    <t>Gross Residential Square Footage from CFA Form 2B:</t>
  </si>
  <si>
    <t>Form 6D: LIHTC Calculation  (updated for 2018)</t>
  </si>
  <si>
    <t>Indicate the Priority Population set-aside(s) below.  If you select Category A or B, you many not select anything under Category C.</t>
  </si>
  <si>
    <t>Category B. 75% Farmworker Housing (35 points)</t>
  </si>
  <si>
    <t xml:space="preserve">75% of units set aside for Farmworkers (Metro and Non-Metro only) =  </t>
  </si>
  <si>
    <t>Category C.  Housing Commitments for other Priority Populations (Up to Two - 10 points each)</t>
  </si>
  <si>
    <r>
      <rPr>
        <b/>
        <sz val="11"/>
        <rFont val="Calibri"/>
        <family val="2"/>
      </rPr>
      <t>Option 6:</t>
    </r>
    <r>
      <rPr>
        <sz val="11"/>
        <rFont val="Calibri"/>
        <family val="2"/>
      </rPr>
      <t xml:space="preserve">  10% @ 30% AMI, 50% @ 40% AMI, 40% @ 50% AMI (60 Points)</t>
    </r>
  </si>
  <si>
    <t>Farmworker75</t>
  </si>
  <si>
    <t>• 75% of the Total Housing Units for Farmworkers (Metro and Non-Metro only)- 35 Points</t>
  </si>
  <si>
    <t>King County 26% and above - 10 Points</t>
  </si>
  <si>
    <t>Metro 18% and above - 10 points</t>
  </si>
  <si>
    <t>Non-Metro 23% and above - 10 Points</t>
  </si>
  <si>
    <t>Nooksack - Metro (5 Points)</t>
  </si>
  <si>
    <t>1 point will be awarded for every two years of the Additional Low-Income Housing Use Period selected, up to 22 years.</t>
  </si>
  <si>
    <t>100% of the units set aside for seniors=</t>
  </si>
  <si>
    <t>Points will be awarded for projects that will achieve development cost efficiencies of the applicable
total development cost limits.  At least three amenities (See Section 21 below) are included in the Project.
Acq/Rehab projects: existing qualifying amenities count.</t>
  </si>
  <si>
    <t>If less than 50%, ineligible</t>
  </si>
  <si>
    <t>Five points will be awarded to Projects that meet each of the the criteria listed below.</t>
  </si>
  <si>
    <t>Please choose only one</t>
  </si>
  <si>
    <t>10 bps (0.1%) of total bond amount or $10,000, whichever is greater - 4 points</t>
  </si>
  <si>
    <t>20 bps (0.2%) of total bond amount or $20,000, whichever is greater - 8 points</t>
  </si>
  <si>
    <r>
      <t>One point will be awarded for each of the following amenities that a Project provides for its residents.
The amenities must not currently exist.  More than one amenity may be selected for points</t>
    </r>
    <r>
      <rPr>
        <b/>
        <sz val="11"/>
        <color theme="1"/>
        <rFont val="Calibri"/>
        <family val="2"/>
        <scheme val="minor"/>
      </rPr>
      <t>.</t>
    </r>
  </si>
  <si>
    <t xml:space="preserve">Method  6 </t>
  </si>
  <si>
    <t>Method  8</t>
  </si>
  <si>
    <t>Three points will be awarded for each of the two options listed below  (Maximum score = 6 points)</t>
  </si>
  <si>
    <r>
      <t xml:space="preserve">Points will be awarded for projects that meet the requirements of Zero Energy
Ready or Zero Energy. </t>
    </r>
    <r>
      <rPr>
        <b/>
        <sz val="10"/>
        <color theme="6" tint="-0.249977111117893"/>
        <rFont val="Calibri"/>
        <family val="2"/>
      </rPr>
      <t xml:space="preserve"> (Please choose only one)</t>
    </r>
  </si>
  <si>
    <t>3 Points:  Zero Energy Ready</t>
  </si>
  <si>
    <t xml:space="preserve">5 Points:  Zero Energy </t>
  </si>
  <si>
    <t>25)</t>
  </si>
  <si>
    <t>Five points will be awarded for properties that have been allocated 9% tax credits and are seeking
to combine a bond application with 4% tax credits as part of the project.</t>
  </si>
  <si>
    <t>TOTAL POINTS SELECTED (40 points minimum required)</t>
  </si>
  <si>
    <t>Lower Income Housing Commitment</t>
  </si>
  <si>
    <t>low_income housing commitment</t>
  </si>
  <si>
    <t>PriorityPopulations10</t>
  </si>
  <si>
    <t>Project_Based_Rental_Assistance</t>
  </si>
  <si>
    <t>LeveragingPublicResources10</t>
  </si>
  <si>
    <t>leveraging_public_resources_10</t>
  </si>
  <si>
    <t>LeveragingTaxableBonds7</t>
  </si>
  <si>
    <t>leveraging_taxable_bonds_7</t>
  </si>
  <si>
    <t>PropertyType10</t>
  </si>
  <si>
    <t>property_type_10</t>
  </si>
  <si>
    <r>
      <t xml:space="preserve">Urban:  within 1/4 mile of 3 services and 1/2 mile of a grocery store </t>
    </r>
    <r>
      <rPr>
        <u/>
        <sz val="11"/>
        <color indexed="8"/>
        <rFont val="Calibri"/>
        <family val="2"/>
      </rPr>
      <t>or</t>
    </r>
    <r>
      <rPr>
        <sz val="11"/>
        <color indexed="8"/>
        <rFont val="Calibri"/>
        <family val="2"/>
      </rPr>
      <t xml:space="preserve"> within 1/2 mile of 5 facilities and a grocery store - 3 points</t>
    </r>
  </si>
  <si>
    <t>LIH40percent</t>
  </si>
  <si>
    <t>LIH50percent</t>
  </si>
  <si>
    <t>LIH60percent</t>
  </si>
  <si>
    <t>NP_Donation</t>
  </si>
  <si>
    <t>At Risk</t>
  </si>
  <si>
    <r>
      <rPr>
        <sz val="7"/>
        <color theme="1"/>
        <rFont val="Times New Roman"/>
        <family val="1"/>
      </rPr>
      <t xml:space="preserve"> </t>
    </r>
    <r>
      <rPr>
        <sz val="11"/>
        <color theme="1"/>
        <rFont val="Calibri"/>
        <family val="2"/>
        <scheme val="minor"/>
      </rPr>
      <t xml:space="preserve">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
    </r>
    <r>
      <rPr>
        <sz val="11"/>
        <color theme="1"/>
        <rFont val="Calibri"/>
        <family val="2"/>
        <scheme val="minor"/>
      </rPr>
      <t xml:space="preserve"> The Federal agency regulating the low-income use certifies …use restrictions released in five years ...
The market study clearly demonstrates that (1) market rate rents are significantly greater than current local rents...</t>
    </r>
  </si>
  <si>
    <r>
      <t>·</t>
    </r>
    <r>
      <rPr>
        <sz val="7"/>
        <color theme="1"/>
        <rFont val="Times New Roman"/>
        <family val="1"/>
      </rPr>
      <t xml:space="preserve">         </t>
    </r>
    <r>
      <rPr>
        <sz val="11"/>
        <color theme="1"/>
        <rFont val="Calibri"/>
        <family val="2"/>
        <scheme val="minor"/>
      </rPr>
      <t>The project does not currently have an Extended Use Agreement with the Commission</t>
    </r>
  </si>
  <si>
    <r>
      <t>·</t>
    </r>
    <r>
      <rPr>
        <sz val="7"/>
        <color theme="1"/>
        <rFont val="Times New Roman"/>
        <family val="1"/>
      </rPr>
      <t xml:space="preserve">         </t>
    </r>
    <r>
      <rPr>
        <sz val="11"/>
        <color theme="1"/>
        <rFont val="Calibri"/>
        <family val="2"/>
        <scheme val="minor"/>
      </rPr>
      <t>At least 50% of the total Housing Units in the project are low-income;</t>
    </r>
  </si>
  <si>
    <r>
      <t>·</t>
    </r>
    <r>
      <rPr>
        <sz val="7"/>
        <color theme="1"/>
        <rFont val="Times New Roman"/>
        <family val="1"/>
      </rPr>
      <t xml:space="preserve">         </t>
    </r>
    <r>
      <rPr>
        <sz val="11"/>
        <color theme="1"/>
        <rFont val="Calibri"/>
        <family val="2"/>
        <scheme val="minor"/>
      </rPr>
      <t>The Applicant agrees to maintain the low-income housing units included in the project</t>
    </r>
  </si>
  <si>
    <r>
      <t>·</t>
    </r>
    <r>
      <rPr>
        <sz val="7"/>
        <color theme="1"/>
        <rFont val="Times New Roman"/>
        <family val="1"/>
      </rPr>
      <t xml:space="preserve">         </t>
    </r>
    <r>
      <rPr>
        <sz val="11"/>
        <color theme="1"/>
        <rFont val="Calibri"/>
        <family val="2"/>
        <scheme val="minor"/>
      </rPr>
      <t>The Federal agency regulating the low-income use certifies …use restrictions released in five years ...</t>
    </r>
  </si>
  <si>
    <t>·         The market study clearly demonstrates that (1) market rate rents are significantly greater than current local rents…</t>
  </si>
  <si>
    <t>Solar Option</t>
  </si>
  <si>
    <t>Percentage of Leveraging:</t>
  </si>
  <si>
    <t>Select points chosen</t>
  </si>
  <si>
    <t>Select tribal area</t>
  </si>
  <si>
    <t>Location_eff_4percent</t>
  </si>
  <si>
    <t>Total Project Costs (from Form 6A, Cell K120):</t>
  </si>
  <si>
    <t>Which limit is this project subject to?</t>
  </si>
  <si>
    <t>Number of units</t>
  </si>
  <si>
    <t>Appropriate Cost/Unit Limits</t>
  </si>
  <si>
    <t>Max Cost by Unit Type</t>
  </si>
  <si>
    <t>Project's Total Development Cost Limit</t>
  </si>
  <si>
    <t>less cost of land</t>
  </si>
  <si>
    <t>less cost of offsite infrastructure</t>
  </si>
  <si>
    <t>less capitalized reserves</t>
  </si>
  <si>
    <t>Total Development Cost (Adjusted)</t>
  </si>
  <si>
    <t>1 Bedroom</t>
  </si>
  <si>
    <t>2 Bedroom</t>
  </si>
  <si>
    <t>3 Bedroom</t>
  </si>
  <si>
    <t>4+ Bedroom</t>
  </si>
  <si>
    <t>Total Development Cost ≤ Total Project Cost Limit</t>
  </si>
  <si>
    <r>
      <t xml:space="preserve">Please see the </t>
    </r>
    <r>
      <rPr>
        <b/>
        <i/>
        <sz val="11"/>
        <color indexed="8"/>
        <rFont val="Calibri"/>
        <family val="2"/>
      </rPr>
      <t>9% Competetive Housing Tax Credit Policies - 2018</t>
    </r>
    <r>
      <rPr>
        <b/>
        <sz val="11"/>
        <color indexed="8"/>
        <rFont val="Calibri"/>
        <family val="2"/>
      </rPr>
      <t xml:space="preserve"> for a list of sources and exclusions.</t>
    </r>
  </si>
  <si>
    <t>Ownership Entity for Completed Project</t>
  </si>
  <si>
    <t>Entity Name:</t>
  </si>
  <si>
    <t>Projected Commitment Start</t>
  </si>
  <si>
    <t>Projected Commitment End</t>
  </si>
  <si>
    <t>Year</t>
  </si>
  <si>
    <t>Tax Credits - 9%</t>
  </si>
  <si>
    <t>Tax Credits - 4%</t>
  </si>
  <si>
    <t>Tax Credits - Historic Rehab</t>
  </si>
  <si>
    <r>
      <t xml:space="preserve">Less Total Non-LIHTC Residential Sources </t>
    </r>
    <r>
      <rPr>
        <i/>
        <sz val="8"/>
        <color indexed="8"/>
        <rFont val="Calibri"/>
        <family val="2"/>
        <scheme val="minor"/>
      </rPr>
      <t>(from Form 7A)</t>
    </r>
  </si>
  <si>
    <t>Maximum Annual Credit Per Low-Income Unit Limit</t>
  </si>
  <si>
    <t xml:space="preserve">50% of units set aside for Homeless  (Metro and Non-Metro only) =  </t>
  </si>
  <si>
    <t>Form 8A</t>
  </si>
  <si>
    <t>Maximum Credit Limits</t>
  </si>
  <si>
    <t>High</t>
  </si>
  <si>
    <t>Low</t>
  </si>
  <si>
    <t>1BR</t>
  </si>
  <si>
    <t>2BR</t>
  </si>
  <si>
    <t>3BR</t>
  </si>
  <si>
    <t>4BR</t>
  </si>
  <si>
    <t>0BR</t>
  </si>
  <si>
    <t>Total Low Income Populaton Units</t>
  </si>
  <si>
    <t>Lender 3</t>
  </si>
  <si>
    <t>Lender 7</t>
  </si>
  <si>
    <t>Relocation (from Form 4)</t>
  </si>
  <si>
    <t>Form 11A: 9% LIHTC Allocation Scoring</t>
  </si>
  <si>
    <t>Form 11B: 4% Tax Credit/Bond Program Scoring</t>
  </si>
  <si>
    <r>
      <t xml:space="preserve">COST EFFICIENT DEVELOPMENT  </t>
    </r>
    <r>
      <rPr>
        <b/>
        <sz val="10"/>
        <color theme="6" tint="-0.249977111117893"/>
        <rFont val="Calibri"/>
        <family val="2"/>
      </rPr>
      <t>(4.7)</t>
    </r>
  </si>
  <si>
    <r>
      <t xml:space="preserve">DEVELOPER FEES </t>
    </r>
    <r>
      <rPr>
        <b/>
        <sz val="10"/>
        <color theme="6" tint="-0.249977111117893"/>
        <rFont val="Calibri"/>
        <family val="2"/>
      </rPr>
      <t>(4.8)</t>
    </r>
  </si>
  <si>
    <r>
      <t xml:space="preserve">REHABILITATION PROJECT </t>
    </r>
    <r>
      <rPr>
        <b/>
        <sz val="10"/>
        <color theme="6" tint="-0.249977111117893"/>
        <rFont val="Calibri"/>
        <family val="2"/>
      </rPr>
      <t>(4.9)</t>
    </r>
  </si>
  <si>
    <r>
      <t xml:space="preserve">RE-SYNDICATION PROJECT </t>
    </r>
    <r>
      <rPr>
        <b/>
        <sz val="10"/>
        <color theme="6" tint="-0.249977111117893"/>
        <rFont val="Calibri"/>
        <family val="2"/>
      </rPr>
      <t>(4.10)</t>
    </r>
  </si>
  <si>
    <r>
      <t xml:space="preserve">AT-RISK PROPERTY </t>
    </r>
    <r>
      <rPr>
        <b/>
        <sz val="10"/>
        <color theme="6" tint="-0.249977111117893"/>
        <rFont val="Calibri"/>
        <family val="2"/>
      </rPr>
      <t>(4.11)</t>
    </r>
  </si>
  <si>
    <r>
      <t xml:space="preserve">PROPERTY TYPE </t>
    </r>
    <r>
      <rPr>
        <b/>
        <sz val="10"/>
        <color theme="6" tint="-0.249977111117893"/>
        <rFont val="Calibri"/>
        <family val="2"/>
      </rPr>
      <t>(4.12)</t>
    </r>
  </si>
  <si>
    <r>
      <rPr>
        <b/>
        <sz val="10"/>
        <rFont val="Calibri"/>
        <family val="2"/>
      </rPr>
      <t xml:space="preserve">LOCATION EFFICIENT PROJECTS </t>
    </r>
    <r>
      <rPr>
        <b/>
        <sz val="10"/>
        <color theme="6" tint="-0.249977111117893"/>
        <rFont val="Calibri"/>
        <family val="2"/>
      </rPr>
      <t xml:space="preserve"> (4.13)</t>
    </r>
  </si>
  <si>
    <r>
      <t xml:space="preserve">AREA TARGETED BY LOCAL JURISDICTION </t>
    </r>
    <r>
      <rPr>
        <b/>
        <sz val="10"/>
        <color theme="6" tint="-0.249977111117893"/>
        <rFont val="Calibri"/>
        <family val="2"/>
      </rPr>
      <t>(4.14)</t>
    </r>
  </si>
  <si>
    <r>
      <t>TRANSIT ORIENTED DEVELOPMENT</t>
    </r>
    <r>
      <rPr>
        <b/>
        <sz val="10"/>
        <color theme="6" tint="-0.249977111117893"/>
        <rFont val="Calibri"/>
        <family val="2"/>
      </rPr>
      <t xml:space="preserve"> (4.15)</t>
    </r>
  </si>
  <si>
    <r>
      <t xml:space="preserve">COMMUNITY REVITALIZATION PLAN </t>
    </r>
    <r>
      <rPr>
        <b/>
        <sz val="10"/>
        <color theme="6" tint="-0.249977111117893"/>
        <rFont val="Calibri"/>
        <family val="2"/>
      </rPr>
      <t>(4.16)</t>
    </r>
  </si>
  <si>
    <r>
      <t xml:space="preserve">HIGH AND VERY HIGH OPPORTUNITY AREAS </t>
    </r>
    <r>
      <rPr>
        <b/>
        <sz val="10"/>
        <color theme="6" tint="-0.249977111117893"/>
        <rFont val="Calibri"/>
        <family val="2"/>
      </rPr>
      <t>(4.17)</t>
    </r>
  </si>
  <si>
    <r>
      <t>NONPROFIT SPONSOR</t>
    </r>
    <r>
      <rPr>
        <b/>
        <sz val="10"/>
        <color theme="6" tint="-0.249977111117893"/>
        <rFont val="Calibri"/>
        <family val="2"/>
      </rPr>
      <t xml:space="preserve"> (4.18)</t>
    </r>
  </si>
  <si>
    <r>
      <t>DONATION IN SUPPORT OF LOCAL NONPROFIT PROGRAMS</t>
    </r>
    <r>
      <rPr>
        <b/>
        <sz val="10"/>
        <color theme="6" tint="-0.249977111117893"/>
        <rFont val="Calibri"/>
        <family val="2"/>
      </rPr>
      <t xml:space="preserve"> (4.19)</t>
    </r>
  </si>
  <si>
    <r>
      <t>DEVELOPMENT AMENITIES</t>
    </r>
    <r>
      <rPr>
        <b/>
        <sz val="10"/>
        <color theme="6" tint="-0.249977111117893"/>
        <rFont val="Calibri"/>
        <family val="2"/>
      </rPr>
      <t xml:space="preserve"> (4.20)</t>
    </r>
  </si>
  <si>
    <r>
      <t>UTILITY ALLOWANCE OPTION</t>
    </r>
    <r>
      <rPr>
        <b/>
        <sz val="10"/>
        <color theme="6" tint="-0.249977111117893"/>
        <rFont val="Calibri"/>
        <family val="2"/>
      </rPr>
      <t xml:space="preserve"> (4.21)</t>
    </r>
  </si>
  <si>
    <r>
      <t>SOLAR OPTIONS</t>
    </r>
    <r>
      <rPr>
        <b/>
        <sz val="10"/>
        <color theme="6" tint="-0.249977111117893"/>
        <rFont val="Calibri"/>
        <family val="2"/>
      </rPr>
      <t xml:space="preserve"> (4.22)</t>
    </r>
  </si>
  <si>
    <r>
      <t xml:space="preserve">ENERGY EFFICIENT BUILDING </t>
    </r>
    <r>
      <rPr>
        <b/>
        <sz val="10"/>
        <color theme="6" tint="-0.249977111117893"/>
        <rFont val="Calibri"/>
        <family val="2"/>
      </rPr>
      <t>(4.23)</t>
    </r>
  </si>
  <si>
    <r>
      <t>PROJECT INNOVATION</t>
    </r>
    <r>
      <rPr>
        <b/>
        <sz val="10"/>
        <color theme="6" tint="-0.249977111117893"/>
        <rFont val="Calibri"/>
        <family val="2"/>
      </rPr>
      <t xml:space="preserve"> (4.24)</t>
    </r>
  </si>
  <si>
    <r>
      <t>COMBO PROPERTIES</t>
    </r>
    <r>
      <rPr>
        <b/>
        <sz val="10"/>
        <color theme="6" tint="-0.249977111117893"/>
        <rFont val="Calibri"/>
        <family val="2"/>
      </rPr>
      <t xml:space="preserve"> (4.25)</t>
    </r>
  </si>
  <si>
    <t>% of Savings</t>
  </si>
  <si>
    <t>Total Sources (cell j121) must at least equal Total Uses (cell j120)</t>
  </si>
  <si>
    <t>GSE</t>
  </si>
  <si>
    <t xml:space="preserve">Tax Credits - Historic Rehab </t>
  </si>
  <si>
    <t xml:space="preserve">Tax Credits - New Market </t>
  </si>
  <si>
    <t>Number of Low Income Housing Units (from Form 2A)</t>
  </si>
  <si>
    <t>Form 1</t>
  </si>
  <si>
    <t>Form 6C</t>
  </si>
  <si>
    <t>Form 7B: Estimate of Cash Flow During Development (Page 2)</t>
  </si>
  <si>
    <t>Month</t>
  </si>
  <si>
    <t>J</t>
  </si>
  <si>
    <t>F</t>
  </si>
  <si>
    <t>S</t>
  </si>
  <si>
    <t>O</t>
  </si>
  <si>
    <t>N</t>
  </si>
  <si>
    <t>D</t>
  </si>
  <si>
    <t>Sources and Amounts of Revenue (Continued)</t>
  </si>
  <si>
    <t>Expenses (Continued)</t>
  </si>
  <si>
    <t>Total Partnership and Management Costs</t>
  </si>
  <si>
    <t>Partnership and 
Asset Management Costs-</t>
  </si>
  <si>
    <t>8)</t>
  </si>
  <si>
    <t>Calc_Sheet__c</t>
  </si>
  <si>
    <t>AC_Land__c</t>
  </si>
  <si>
    <t>AC_Existing_Structures__c</t>
  </si>
  <si>
    <t>AC_Liens__c</t>
  </si>
  <si>
    <t>AC_Closing_Title_Recording_Costs__c</t>
  </si>
  <si>
    <t>AC_Extension_Payment__c</t>
  </si>
  <si>
    <t>AC_Other__c</t>
  </si>
  <si>
    <t>C_Demolition__c</t>
  </si>
  <si>
    <t>C_New_Building__c</t>
  </si>
  <si>
    <t>C_Rehabilitation__c</t>
  </si>
  <si>
    <t>C_Contractor_Profit__c</t>
  </si>
  <si>
    <t>C_Contractor_Overhead__c</t>
  </si>
  <si>
    <t>C_New_Construction_Contingency__c</t>
  </si>
  <si>
    <t>C_Rehab_Contingency__c</t>
  </si>
  <si>
    <t>C_Accessory_Building__c</t>
  </si>
  <si>
    <t>C_Site_Work_Infrastructure__c</t>
  </si>
  <si>
    <t>C_Off_site_Infrastructure__c</t>
  </si>
  <si>
    <t>C_Environmental_Abatement_Building__c</t>
  </si>
  <si>
    <t>C_Environmental_Abatement_Land__c</t>
  </si>
  <si>
    <t>C_Sales_Tax__c</t>
  </si>
  <si>
    <t>C_Bond_Premium__c</t>
  </si>
  <si>
    <t>C_Equipment_and_Furnishings__c</t>
  </si>
  <si>
    <t>C_Other__c</t>
  </si>
  <si>
    <t>SC_Buyer_s_Appraisal__c</t>
  </si>
  <si>
    <t>SC_Market_Study__c</t>
  </si>
  <si>
    <t>SC_Architect__c</t>
  </si>
  <si>
    <t>SC_Engineering__c</t>
  </si>
  <si>
    <t>SC_Environmental_Assessment__c</t>
  </si>
  <si>
    <t>SC_Geotechnical_Study__c</t>
  </si>
  <si>
    <t>SC_Boundary_Topographic_Survey__c</t>
  </si>
  <si>
    <t>SC_Legal_Real_Estate__c</t>
  </si>
  <si>
    <t>SC_Developer_Fee__c</t>
  </si>
  <si>
    <t>SC_Project_Mgmt_Dev_Consultant__c</t>
  </si>
  <si>
    <t>SC_Other_Consultants__c</t>
  </si>
  <si>
    <t>SC_Soft_Cost_Contingency__c</t>
  </si>
  <si>
    <t>SC_Other__c</t>
  </si>
  <si>
    <t>PDBF_Bridge_Loan_Fees__c</t>
  </si>
  <si>
    <t>PDBF_Bridge_Loan_Interest__c</t>
  </si>
  <si>
    <t>CF_Construction_Loan_Fees__c</t>
  </si>
  <si>
    <t>CF_Construction_Loan_Expense__c</t>
  </si>
  <si>
    <t>CF_Construction_Loan_Legal__c</t>
  </si>
  <si>
    <t>CF_Construction_Period_Interest__c</t>
  </si>
  <si>
    <t>CF_Lease_up_Period_Interest__c</t>
  </si>
  <si>
    <t>PF_Permanent_Loan_Fees__c</t>
  </si>
  <si>
    <t>PF_Permanent_Loan_Expenses__c</t>
  </si>
  <si>
    <t>PF_Permanent_Loan_Legal__c</t>
  </si>
  <si>
    <t>PF_LIHTC_Fees__c</t>
  </si>
  <si>
    <t>PF_LIHTC_Legal__c</t>
  </si>
  <si>
    <t>PF_LIHTC_Owner_Title_Policy__c</t>
  </si>
  <si>
    <t>PF_State_HTF_Fees__c</t>
  </si>
  <si>
    <t>PF_Other__c</t>
  </si>
  <si>
    <t>CR_Operating_Reserves__c</t>
  </si>
  <si>
    <t>CR_Replacement_Reserves__c</t>
  </si>
  <si>
    <t>CR_Other_Reserves__c</t>
  </si>
  <si>
    <t>ODC_Real_Estate_Tax__c</t>
  </si>
  <si>
    <t>ODC_Insurance__c</t>
  </si>
  <si>
    <t>ODC_Relocation__c</t>
  </si>
  <si>
    <t>ODC_Bidding__c</t>
  </si>
  <si>
    <t>ODC_Permits_Fees_Hookups__c</t>
  </si>
  <si>
    <t>ODC_Impact_Mitigation_Fees__c</t>
  </si>
  <si>
    <t>ODC_Development_Period_Utilities__c</t>
  </si>
  <si>
    <t>ODC_Nonprofit_Donation__c</t>
  </si>
  <si>
    <t>ODC_Accounting_Audit__c</t>
  </si>
  <si>
    <t>ODC_Marketing_Leasing_Expenses__c</t>
  </si>
  <si>
    <t>ODC_Carrying_Costs_at_Rent_up_Reserve__c</t>
  </si>
  <si>
    <t>BRCI_Issuer_Fees_Related_Expenses__c</t>
  </si>
  <si>
    <t>BRCI_Bond_Counsel__c</t>
  </si>
  <si>
    <t>BRCI_Trustee_Fees_Expenses__c</t>
  </si>
  <si>
    <t>BRCI_Underwriter_Fees_Counsel__c</t>
  </si>
  <si>
    <t>BRCI_Placement_Agent_Fees_Counsel__c</t>
  </si>
  <si>
    <t>BRCI_Borrowers_Counsel_Bond_Related__c</t>
  </si>
  <si>
    <t>BRCI_Rating_Agency__c</t>
  </si>
  <si>
    <t>AC_EBA_Existing_Structures__c</t>
  </si>
  <si>
    <t>AC_EBA_Liens__c</t>
  </si>
  <si>
    <t>AC_EBA_Closing_Title_Recording_Costs__c</t>
  </si>
  <si>
    <t>AC_EBA_Extension_Payment__c</t>
  </si>
  <si>
    <t>AC_EBA_Other__c</t>
  </si>
  <si>
    <t>C_EBA_Demolition__c</t>
  </si>
  <si>
    <t>C_EBA_New_Building__c</t>
  </si>
  <si>
    <t>C_EBA_Rehabilitation__c</t>
  </si>
  <si>
    <t>C_EBA_Contractor_Profit__c</t>
  </si>
  <si>
    <t>C_EBA_Contractor_Overhead__c</t>
  </si>
  <si>
    <t>C_EBA_New_Construction_Contingency__c</t>
  </si>
  <si>
    <t>C_EBA_Rehab_Contingency__c</t>
  </si>
  <si>
    <t>C_EBA_Accessory_Building__c</t>
  </si>
  <si>
    <t>C_EBA_Environmental_Abatement_Building__c</t>
  </si>
  <si>
    <t>C_EBA_Environmental_Abatement_Land__c</t>
  </si>
  <si>
    <t>C_EBA_Sales_Tax__c</t>
  </si>
  <si>
    <t>C_EBA_Bond_Premium__c</t>
  </si>
  <si>
    <t>C_EBA_Equipment_and_Furnishings__c</t>
  </si>
  <si>
    <t>C_EBA_Other__c</t>
  </si>
  <si>
    <t>SC_EBA_Market_Study__c</t>
  </si>
  <si>
    <t>SC_EBA_Architect__c</t>
  </si>
  <si>
    <t>SC_EBA_Engineering__c</t>
  </si>
  <si>
    <t>SC_EBA_Environmental_Assessment__c</t>
  </si>
  <si>
    <t>SC_EBA_Geotechnical_Study__c</t>
  </si>
  <si>
    <t>SC_EBA_Boundary_Topo_Survey__c</t>
  </si>
  <si>
    <t>SC_EBA_Legal_Real_Estate__c</t>
  </si>
  <si>
    <t>SC_EBA_Developer_Fee__c</t>
  </si>
  <si>
    <t>SC_EBA_Project_Mgmt_Dev_Cons_Fees__c</t>
  </si>
  <si>
    <t>SC_EBA_Other_Consultants__c</t>
  </si>
  <si>
    <t>SC_EBA_Soft_Cost_Contingency__c</t>
  </si>
  <si>
    <t>SC_EBA_Other__c</t>
  </si>
  <si>
    <t>CF_EBA_Construction_Loan_Fees__c</t>
  </si>
  <si>
    <t>CF_EBA_Construction_Loan_Expense__c</t>
  </si>
  <si>
    <t>CF_EBA_Construction_Loan_Legal__c</t>
  </si>
  <si>
    <t>CF_EBA_Construction_Period_Interest__c</t>
  </si>
  <si>
    <t>ODC_EBA_Real_Estate_Tax__c</t>
  </si>
  <si>
    <t>ODC_EBA_Insurance__c</t>
  </si>
  <si>
    <t>ODC_EBA_Relocation__c</t>
  </si>
  <si>
    <t>ODC_EBA_Bidding__c</t>
  </si>
  <si>
    <t>ODC_EBA_Permits_Fees_Hookups__c</t>
  </si>
  <si>
    <t>ODC_EBA_Impact_Mitigation_Fees__c</t>
  </si>
  <si>
    <t>ODC_EBA_Development_Period_Utilities__c</t>
  </si>
  <si>
    <t>ODC_EBA_Accounting_Audit__c</t>
  </si>
  <si>
    <t>C_EBNCR_Demolition__c</t>
  </si>
  <si>
    <t>C_EBNCR_New_Building__c</t>
  </si>
  <si>
    <t>C_EBNCR_Rehabilitation__c</t>
  </si>
  <si>
    <t>C_EBNCR_Contractor_Profit__c</t>
  </si>
  <si>
    <t>C_EBNCR_Contractor_Overhead__c</t>
  </si>
  <si>
    <t>C_EBNCR_New_Construction_Contingency__c</t>
  </si>
  <si>
    <t>C_EBNCR_Rehab_Contingency__c</t>
  </si>
  <si>
    <t>C_EBNCR_Accessory_Building__c</t>
  </si>
  <si>
    <t>C_EBNCR_Environmental_Abatement_Building__c</t>
  </si>
  <si>
    <t>C_EBNCR_Environmental_Abatement_Land__c</t>
  </si>
  <si>
    <t>C_EBNCR_Sales_Tax__c</t>
  </si>
  <si>
    <t>C_EBNCR_Bond_Premium__c</t>
  </si>
  <si>
    <t>C_EBNCR_Equipment_and_Furnishings__c</t>
  </si>
  <si>
    <t>C_EBNCR_Other__c</t>
  </si>
  <si>
    <t>SC_EBNCR_Market_Study__c</t>
  </si>
  <si>
    <t>SC_EBNCR_Architect__c</t>
  </si>
  <si>
    <t>SC_EBNCR_Engineering__c</t>
  </si>
  <si>
    <t>SC_EBNCR_Environmental_Assessment__c</t>
  </si>
  <si>
    <t>SC_EBNCR_Geotechnical_Study__c</t>
  </si>
  <si>
    <t>SC_EBNCR_Boundary_Topo_Survey__c</t>
  </si>
  <si>
    <t>SC_EBNCR_Legal_Real_Estate__c</t>
  </si>
  <si>
    <t>SC_EBNCR_Developer_Fee__c</t>
  </si>
  <si>
    <t>SC_EBNCR_Project_Mgmt_Dev_Cons_Fees__c</t>
  </si>
  <si>
    <t>SC_EBNCR_Other_Consultants__c</t>
  </si>
  <si>
    <t>SC_EBNCR_Soft_Cost_Contingency__c</t>
  </si>
  <si>
    <t>SC_EBNCR_Other__c</t>
  </si>
  <si>
    <t>CF_EBNCR_Construction_Loan_Fees__c</t>
  </si>
  <si>
    <t>CF_EBNCR_Construction_Loan_Expense__c</t>
  </si>
  <si>
    <t>CF_EBNCR_Construction_Loan_Legal__c</t>
  </si>
  <si>
    <t>CF_EBNCR_Construction_Period_Interest__c</t>
  </si>
  <si>
    <t>ODC_EBNCR_Real_Estate_Tax__c</t>
  </si>
  <si>
    <t>ODC_EBNCR_Insurance__c</t>
  </si>
  <si>
    <t>ODC_EBNCR_Relocation__c</t>
  </si>
  <si>
    <t>ODC_EBNCR_Bidding__c</t>
  </si>
  <si>
    <t>ODC_EBNCR_Permits_Fees_Hookups__c</t>
  </si>
  <si>
    <t>ODC_EBNCR_Impact_Mitigation_Fees__c</t>
  </si>
  <si>
    <t>ODC_EBNCR_Development_Period_Utilities__c</t>
  </si>
  <si>
    <t>ODC_EBNCR_Accounting_Audit__c</t>
  </si>
  <si>
    <t>Funding__c</t>
  </si>
  <si>
    <t>Version_Name__c</t>
  </si>
  <si>
    <t>Version_Notes__c</t>
  </si>
  <si>
    <t>Analyst__c</t>
  </si>
  <si>
    <t>X130_Pct_Eligible_Basis_Boost__c</t>
  </si>
  <si>
    <t>EGC_Tax_Credit_Factor__c</t>
  </si>
  <si>
    <t>EBCC_Less_Federal_Grants_Acq__c</t>
  </si>
  <si>
    <t>EBCC_Less_NonQual_Acq__c</t>
  </si>
  <si>
    <t>EBCC_Less_Costs_NonQual_Units_Acq__c</t>
  </si>
  <si>
    <t>EBCC_Less_Historic_Rehab_Acq__c</t>
  </si>
  <si>
    <t>EBCC_Applicable_Fraction_Acq__c</t>
  </si>
  <si>
    <t>EBCC_Applicable_Pct_Acq__c</t>
  </si>
  <si>
    <t>EBCC_Less_NonQual_RNC__c</t>
  </si>
  <si>
    <t>EBCC_Less_Costs_NonQual_Units_RNC__c</t>
  </si>
  <si>
    <t>EBCC_Less_Historic_Rehab_RNC__c</t>
  </si>
  <si>
    <t>EBCC_Applicable_Fraction_RNC__c</t>
  </si>
  <si>
    <t>EBCC_Applicable_Pct_RNC__c</t>
  </si>
  <si>
    <t>EGC_Equity_Gap__c</t>
  </si>
  <si>
    <t>Equity_Gap__c</t>
  </si>
  <si>
    <t>Nbr_of_LIH_Units__c</t>
  </si>
  <si>
    <t>CY_Max_Ann_Crdt_per_LIH_Unit_Limit__c</t>
  </si>
  <si>
    <t>CY_Avail_per_cap_Credit_Amt1__c</t>
  </si>
  <si>
    <t>Nbr_of_Studio_Units__c</t>
  </si>
  <si>
    <t>Nbr_of_1_Bdrm_Units__c</t>
  </si>
  <si>
    <t>Nbr_of_2_Bdrm_Units__c</t>
  </si>
  <si>
    <t>Nbr_of_3_Bdrm_Units__c</t>
  </si>
  <si>
    <t>Nbr_of_4plus_Bdrm_Units__c</t>
  </si>
  <si>
    <t>Draft</t>
  </si>
  <si>
    <t>Residential_Sources__c</t>
  </si>
  <si>
    <t>Committed_Amount__c</t>
  </si>
  <si>
    <t>Interest_Rate__c</t>
  </si>
  <si>
    <t>Loan_Term__c</t>
  </si>
  <si>
    <t>Amortization_Period__c</t>
  </si>
  <si>
    <t>Repayment_Structure__c</t>
  </si>
  <si>
    <t>C_EBA_Site_Work_Infrastructure__c</t>
  </si>
  <si>
    <t>C_EBNCR_Site_Work_Infrastructure__c</t>
  </si>
  <si>
    <t>Form 1&gt;</t>
  </si>
  <si>
    <t>Project Sponsor Organization</t>
  </si>
  <si>
    <t>Project Name</t>
  </si>
  <si>
    <t>Development Consultant Firm Name</t>
  </si>
  <si>
    <t>Location: City</t>
  </si>
  <si>
    <t>Location: County</t>
  </si>
  <si>
    <t>Location: LegDist</t>
  </si>
  <si>
    <t>Activity Type(s)</t>
  </si>
  <si>
    <t>&lt;Form 1</t>
  </si>
  <si>
    <t>Form 2A&gt;</t>
  </si>
  <si>
    <t>Low Income Units</t>
  </si>
  <si>
    <t>&lt;Form 2A</t>
  </si>
  <si>
    <t>Form 2b&gt;</t>
  </si>
  <si>
    <t>Total Residential Ft2</t>
  </si>
  <si>
    <t>Total NonResidential Ft2</t>
  </si>
  <si>
    <t>&lt;Form 2b</t>
  </si>
  <si>
    <t>Form 2c&gt;</t>
  </si>
  <si>
    <t xml:space="preserve"> S1 </t>
  </si>
  <si>
    <t xml:space="preserve"> S2 </t>
  </si>
  <si>
    <t xml:space="preserve"> S3 </t>
  </si>
  <si>
    <t xml:space="preserve"> S4 </t>
  </si>
  <si>
    <t xml:space="preserve"> S5 </t>
  </si>
  <si>
    <t xml:space="preserve"> S6 </t>
  </si>
  <si>
    <t xml:space="preserve"> S7 </t>
  </si>
  <si>
    <t xml:space="preserve"> S8 </t>
  </si>
  <si>
    <t>&lt;Form 2c</t>
  </si>
  <si>
    <t>Form 3&gt;</t>
  </si>
  <si>
    <t>&lt;&gt;</t>
  </si>
  <si>
    <t>&lt;Form 3</t>
  </si>
  <si>
    <t>Form 5&gt;</t>
  </si>
  <si>
    <t>Const Start Date</t>
  </si>
  <si>
    <t>Completion Date</t>
  </si>
  <si>
    <t>&lt;Form 5</t>
  </si>
  <si>
    <t>Form 6&gt;</t>
  </si>
  <si>
    <t xml:space="preserve"> LandTDC </t>
  </si>
  <si>
    <t>LandRDC</t>
  </si>
  <si>
    <t>OpResTDC</t>
  </si>
  <si>
    <t>OpResRDC</t>
  </si>
  <si>
    <t>RepResTDC</t>
  </si>
  <si>
    <t>RepResRDC</t>
  </si>
  <si>
    <t>TDC</t>
  </si>
  <si>
    <t>RDC</t>
  </si>
  <si>
    <t>&lt;Form 6A</t>
  </si>
  <si>
    <t>Form 6d&gt;</t>
  </si>
  <si>
    <t>LIHTC Type</t>
  </si>
  <si>
    <t>TCF</t>
  </si>
  <si>
    <t>&lt;Form 6d</t>
  </si>
  <si>
    <t>Form 7a&gt;</t>
  </si>
  <si>
    <t>HTF Requested</t>
  </si>
  <si>
    <t>Expected TC Equity</t>
  </si>
  <si>
    <t>&lt;Form 7a</t>
  </si>
  <si>
    <t>From 8a&gt;</t>
  </si>
  <si>
    <t>5 BR</t>
  </si>
  <si>
    <t>&lt;Form 8a</t>
  </si>
  <si>
    <t>Form 8b&gt;</t>
  </si>
  <si>
    <t>RentSubs-P</t>
  </si>
  <si>
    <t>RentSubs-C</t>
  </si>
  <si>
    <t xml:space="preserve"> OpSubs-P</t>
  </si>
  <si>
    <t xml:space="preserve"> OpSubs-C</t>
  </si>
  <si>
    <t xml:space="preserve"> SvcSubs-P</t>
  </si>
  <si>
    <t xml:space="preserve"> SvcSubs-C</t>
  </si>
  <si>
    <t>&lt;Form 8b</t>
  </si>
  <si>
    <t>Form 8d&gt;</t>
  </si>
  <si>
    <t>NOI(Y1)</t>
  </si>
  <si>
    <t>NOI(Y5)</t>
  </si>
  <si>
    <t>NOI(Y15)</t>
  </si>
  <si>
    <t>&lt;Form 8d</t>
  </si>
  <si>
    <t>Form 9a&gt;</t>
  </si>
  <si>
    <t>Executive Director Email</t>
  </si>
  <si>
    <t>Contact Person Email</t>
  </si>
  <si>
    <t>Development Consultant Email</t>
  </si>
  <si>
    <t>&lt;Form 9a</t>
  </si>
  <si>
    <t>Form 11a&gt;</t>
  </si>
  <si>
    <t>9% Points</t>
  </si>
  <si>
    <t>&lt;Form 11a</t>
  </si>
  <si>
    <t>Form 11b&gt;</t>
  </si>
  <si>
    <t>4% Points</t>
  </si>
  <si>
    <t>&lt;Form 11b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</si>
</sst>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0;\-0;;@"/>
    <numFmt numFmtId="169" formatCode="#,##0.000_);\(#,##0.000\)"/>
    <numFmt numFmtId="170" formatCode="0.000"/>
    <numFmt numFmtId="171" formatCode="_(&quot;$&quot;* #,##0_);_(&quot;$&quot;* \(#,##0\);_(&quot;$&quot;* &quot;-&quot;??_);_(@_)"/>
    <numFmt numFmtId="172" formatCode="[$-409]mmm\-yy;@"/>
  </numFmts>
  <fonts count="1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u/>
      <sz val="11"/>
      <color indexed="8"/>
      <name val="Calibri"/>
      <family val="2"/>
    </font>
    <font>
      <sz val="11"/>
      <color indexed="8"/>
      <name val="Arial"/>
      <family val="2"/>
    </font>
    <font>
      <b/>
      <i/>
      <sz val="8"/>
      <color theme="6" tint="-0.249977111117893"/>
      <name val="Calibri"/>
      <family val="2"/>
    </font>
    <font>
      <b/>
      <sz val="10"/>
      <color theme="6" tint="-0.249977111117893"/>
      <name val="Calibri"/>
      <family val="2"/>
    </font>
    <font>
      <sz val="11"/>
      <color rgb="FFFF0000"/>
      <name val="Calibri"/>
      <family val="2"/>
    </font>
    <font>
      <b/>
      <sz val="10"/>
      <color theme="6" tint="-0.499984740745262"/>
      <name val="Calibri"/>
      <family val="2"/>
    </font>
    <font>
      <b/>
      <i/>
      <sz val="11"/>
      <color theme="6" tint="-0.249977111117893"/>
      <name val="Calibri"/>
      <family val="2"/>
    </font>
    <font>
      <sz val="16"/>
      <color rgb="FFFF0000"/>
      <name val="Calibri"/>
      <family val="2"/>
    </font>
    <font>
      <b/>
      <u/>
      <sz val="11"/>
      <color rgb="FFFF0000"/>
      <name val="Calibri"/>
      <family val="2"/>
    </font>
    <font>
      <b/>
      <sz val="8"/>
      <name val="Calibri"/>
      <family val="2"/>
    </font>
    <font>
      <b/>
      <sz val="10"/>
      <color theme="0"/>
      <name val="Calibri"/>
      <family val="2"/>
    </font>
    <font>
      <sz val="11"/>
      <color theme="0"/>
      <name val="Calibri"/>
      <family val="2"/>
    </font>
    <font>
      <b/>
      <sz val="10"/>
      <color theme="1"/>
      <name val="Calibri"/>
      <family val="2"/>
    </font>
    <font>
      <sz val="11"/>
      <color theme="1"/>
      <name val="Symbol"/>
      <family val="1"/>
      <charset val="2"/>
    </font>
    <font>
      <sz val="7"/>
      <color theme="1"/>
      <name val="Times New Roman"/>
      <family val="1"/>
    </font>
    <font>
      <sz val="10"/>
      <name val="Calibri"/>
      <family val="2"/>
    </font>
    <font>
      <b/>
      <sz val="10"/>
      <color rgb="FFFF0000"/>
      <name val="Calibri"/>
      <family val="2"/>
    </font>
    <font>
      <b/>
      <i/>
      <sz val="11"/>
      <color indexed="8"/>
      <name val="Calibri"/>
      <family val="2"/>
    </font>
    <font>
      <sz val="9"/>
      <color indexed="8"/>
      <name val="Calibri"/>
      <family val="2"/>
    </font>
    <font>
      <b/>
      <sz val="9"/>
      <color theme="1"/>
      <name val="Calibri"/>
      <family val="2"/>
      <scheme val="minor"/>
    </font>
    <font>
      <b/>
      <i/>
      <sz val="11"/>
      <color theme="1"/>
      <name val="Calibri"/>
      <family val="2"/>
      <scheme val="minor"/>
    </font>
    <font>
      <sz val="9"/>
      <color rgb="FF000000"/>
      <name val="Arial"/>
      <family val="2"/>
    </font>
    <font>
      <sz val="11"/>
      <color rgb="FF000000"/>
      <name val="Calibri"/>
      <family val="2"/>
      <scheme val="minor"/>
    </font>
    <font>
      <sz val="11"/>
      <color theme="1"/>
      <name val="Calibri"/>
      <scheme val="minor"/>
    </font>
    <font>
      <sz val="10"/>
      <name val="Calibri"/>
      <scheme val="minor"/>
    </font>
  </fonts>
  <fills count="3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FFFF"/>
        <bgColor indexed="64"/>
      </patternFill>
    </fill>
    <fill>
      <patternFill patternType="solid">
        <fgColor rgb="FF7030A0"/>
        <bgColor indexed="64"/>
      </patternFill>
    </fill>
  </fills>
  <borders count="639">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style="thin">
        <color rgb="FF08A8CE"/>
      </left>
      <right/>
      <top style="thin">
        <color rgb="FF08A8CE"/>
      </top>
      <bottom style="thin">
        <color indexed="64"/>
      </bottom>
      <diagonal/>
    </border>
    <border>
      <left/>
      <right style="thin">
        <color rgb="FF08A8CE"/>
      </right>
      <top style="thin">
        <color rgb="FF08A8CE"/>
      </top>
      <bottom style="thin">
        <color indexed="64"/>
      </bottom>
      <diagonal/>
    </border>
    <border>
      <left/>
      <right/>
      <top style="double">
        <color indexed="64"/>
      </top>
      <bottom style="double">
        <color indexed="64"/>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14996795556505021"/>
      </left>
      <right style="thin">
        <color theme="0" tint="-0.14996795556505021"/>
      </right>
      <top style="double">
        <color auto="1"/>
      </top>
      <bottom style="thin">
        <color theme="0" tint="-0.14996795556505021"/>
      </bottom>
      <diagonal/>
    </border>
    <border>
      <left/>
      <right style="hair">
        <color theme="0" tint="-0.34998626667073579"/>
      </right>
      <top/>
      <bottom/>
      <diagonal/>
    </border>
    <border>
      <left/>
      <right/>
      <top style="thin">
        <color theme="0" tint="-0.14996795556505021"/>
      </top>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right style="thin">
        <color theme="0" tint="-0.14996795556505021"/>
      </right>
      <top/>
      <bottom/>
      <diagonal/>
    </border>
    <border>
      <left/>
      <right/>
      <top style="double">
        <color auto="1"/>
      </top>
      <bottom/>
      <diagonal/>
    </border>
    <border>
      <left/>
      <right style="thin">
        <color theme="0" tint="-0.14996795556505021"/>
      </right>
      <top style="double">
        <color auto="1"/>
      </top>
      <bottom/>
      <diagonal/>
    </border>
    <border>
      <left/>
      <right/>
      <top/>
      <bottom style="thin">
        <color theme="3" tint="0.39994506668294322"/>
      </bottom>
      <diagonal/>
    </border>
    <border>
      <left/>
      <right style="medium">
        <color indexed="64"/>
      </right>
      <top/>
      <bottom style="thin">
        <color theme="3" tint="0.39994506668294322"/>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style="medium">
        <color indexed="64"/>
      </right>
      <top style="thin">
        <color theme="4" tint="0.39997558519241921"/>
      </top>
      <bottom style="medium">
        <color indexed="64"/>
      </bottom>
      <diagonal/>
    </border>
    <border>
      <left style="thin">
        <color theme="0" tint="-0.14993743705557422"/>
      </left>
      <right/>
      <top/>
      <bottom style="thin">
        <color theme="3" tint="0.39994506668294322"/>
      </bottom>
      <diagonal/>
    </border>
    <border>
      <left style="medium">
        <color indexed="64"/>
      </left>
      <right style="medium">
        <color indexed="64"/>
      </right>
      <top style="thin">
        <color theme="3" tint="0.39994506668294322"/>
      </top>
      <bottom/>
      <diagonal/>
    </border>
    <border>
      <left style="medium">
        <color indexed="64"/>
      </left>
      <right style="medium">
        <color indexed="64"/>
      </right>
      <top/>
      <bottom style="thin">
        <color theme="3" tint="0.39994506668294322"/>
      </bottom>
      <diagonal/>
    </border>
    <border>
      <left/>
      <right/>
      <top style="thin">
        <color theme="0" tint="-0.24994659260841701"/>
      </top>
      <bottom style="thin">
        <color indexed="64"/>
      </bottom>
      <diagonal/>
    </border>
    <border>
      <left style="medium">
        <color theme="3" tint="-0.24994659260841701"/>
      </left>
      <right style="medium">
        <color theme="3" tint="-0.24994659260841701"/>
      </right>
      <top/>
      <bottom/>
      <diagonal/>
    </border>
    <border>
      <left style="medium">
        <color indexed="64"/>
      </left>
      <right style="thin">
        <color indexed="64"/>
      </right>
      <top style="thin">
        <color theme="4" tint="0.39997558519241921"/>
      </top>
      <bottom style="medium">
        <color indexed="64"/>
      </bottom>
      <diagonal/>
    </border>
    <border>
      <left style="thin">
        <color theme="0" tint="-0.34998626667073579"/>
      </left>
      <right style="thin">
        <color theme="0" tint="-0.34998626667073579"/>
      </right>
      <top style="thin">
        <color theme="3" tint="0.39994506668294322"/>
      </top>
      <bottom/>
      <diagonal/>
    </border>
    <border>
      <left style="thin">
        <color theme="0" tint="-0.34998626667073579"/>
      </left>
      <right style="medium">
        <color indexed="64"/>
      </right>
      <top style="thin">
        <color theme="3" tint="0.39994506668294322"/>
      </top>
      <bottom/>
      <diagonal/>
    </border>
    <border>
      <left style="thin">
        <color theme="0" tint="-0.34998626667073579"/>
      </left>
      <right style="thin">
        <color theme="0" tint="-0.34998626667073579"/>
      </right>
      <top style="thin">
        <color theme="3" tint="0.39994506668294322"/>
      </top>
      <bottom style="medium">
        <color indexed="64"/>
      </bottom>
      <diagonal/>
    </border>
    <border>
      <left style="thin">
        <color theme="0" tint="-0.34998626667073579"/>
      </left>
      <right style="medium">
        <color indexed="64"/>
      </right>
      <top style="thin">
        <color theme="3" tint="0.39994506668294322"/>
      </top>
      <bottom style="medium">
        <color indexed="64"/>
      </bottom>
      <diagonal/>
    </border>
    <border>
      <left style="medium">
        <color indexed="64"/>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medium">
        <color indexed="64"/>
      </left>
      <right style="thin">
        <color theme="0" tint="-0.14996795556505021"/>
      </right>
      <top style="medium">
        <color indexed="64"/>
      </top>
      <bottom style="double">
        <color indexed="64"/>
      </bottom>
      <diagonal/>
    </border>
    <border>
      <left style="thin">
        <color theme="0" tint="-0.14996795556505021"/>
      </left>
      <right style="thin">
        <color theme="0" tint="-0.14996795556505021"/>
      </right>
      <top style="medium">
        <color indexed="64"/>
      </top>
      <bottom style="double">
        <color indexed="64"/>
      </bottom>
      <diagonal/>
    </border>
    <border>
      <left style="thin">
        <color theme="0" tint="-0.14996795556505021"/>
      </left>
      <right style="medium">
        <color indexed="64"/>
      </right>
      <top style="medium">
        <color indexed="64"/>
      </top>
      <bottom style="double">
        <color indexed="64"/>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thin">
        <color theme="0" tint="-0.14996795556505021"/>
      </top>
      <bottom style="thin">
        <color indexed="64"/>
      </bottom>
      <diagonal/>
    </border>
    <border>
      <left style="medium">
        <color rgb="FFE0E3E5"/>
      </left>
      <right style="medium">
        <color rgb="FFE0E3E5"/>
      </right>
      <top style="medium">
        <color rgb="FFE0E3E5"/>
      </top>
      <bottom style="medium">
        <color rgb="FFE0E3E5"/>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79" fillId="0" borderId="0"/>
    <xf numFmtId="0" fontId="3" fillId="0" borderId="0"/>
  </cellStyleXfs>
  <cellXfs count="2771">
    <xf numFmtId="0" fontId="0" fillId="0" borderId="0" xfId="0"/>
    <xf numFmtId="0" fontId="3"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6" fillId="0" borderId="0" xfId="0" applyFont="1" applyFill="1" applyBorder="1" applyAlignment="1" applyProtection="1">
      <alignment horizontal="center" vertical="center" wrapText="1"/>
    </xf>
    <xf numFmtId="42" fontId="22" fillId="0" borderId="0" xfId="0" applyNumberFormat="1" applyFont="1" applyFill="1" applyBorder="1" applyAlignment="1" applyProtection="1">
      <alignment vertical="center"/>
    </xf>
    <xf numFmtId="0" fontId="14" fillId="0" borderId="0" xfId="0" applyFont="1" applyFill="1" applyBorder="1" applyProtection="1"/>
    <xf numFmtId="0" fontId="25" fillId="0" borderId="0" xfId="0" applyFont="1" applyFill="1" applyBorder="1" applyAlignment="1" applyProtection="1"/>
    <xf numFmtId="42" fontId="15" fillId="0" borderId="0" xfId="0" applyNumberFormat="1" applyFont="1" applyFill="1" applyBorder="1" applyProtection="1"/>
    <xf numFmtId="42" fontId="22" fillId="0" borderId="0" xfId="0" applyNumberFormat="1" applyFont="1" applyBorder="1" applyAlignment="1" applyProtection="1">
      <alignment vertical="center"/>
    </xf>
    <xf numFmtId="42" fontId="22" fillId="12" borderId="135" xfId="0" applyNumberFormat="1" applyFont="1" applyFill="1" applyBorder="1" applyAlignment="1" applyProtection="1">
      <alignment vertical="center"/>
    </xf>
    <xf numFmtId="42" fontId="22" fillId="6" borderId="71" xfId="0" applyNumberFormat="1" applyFont="1" applyFill="1" applyBorder="1" applyAlignment="1" applyProtection="1">
      <alignment vertical="center"/>
    </xf>
    <xf numFmtId="42" fontId="22" fillId="12" borderId="130" xfId="0" applyNumberFormat="1" applyFont="1" applyFill="1" applyBorder="1" applyAlignment="1" applyProtection="1">
      <alignment vertical="center"/>
    </xf>
    <xf numFmtId="42" fontId="22" fillId="17" borderId="73" xfId="0" applyNumberFormat="1" applyFont="1" applyFill="1" applyBorder="1" applyAlignment="1" applyProtection="1">
      <alignment vertical="center"/>
    </xf>
    <xf numFmtId="42" fontId="22" fillId="17" borderId="136" xfId="0" applyNumberFormat="1" applyFont="1" applyFill="1" applyBorder="1" applyAlignment="1" applyProtection="1">
      <alignment vertical="center"/>
    </xf>
    <xf numFmtId="0" fontId="25" fillId="0" borderId="96" xfId="0" applyFont="1" applyFill="1" applyBorder="1" applyAlignment="1" applyProtection="1"/>
    <xf numFmtId="0" fontId="25" fillId="0" borderId="97" xfId="0" applyFont="1" applyFill="1" applyBorder="1" applyAlignment="1" applyProtection="1"/>
    <xf numFmtId="5" fontId="24" fillId="0" borderId="93" xfId="0" applyNumberFormat="1" applyFont="1" applyFill="1" applyBorder="1" applyAlignment="1" applyProtection="1">
      <alignment vertical="center"/>
    </xf>
    <xf numFmtId="42" fontId="22" fillId="0" borderId="140" xfId="0" applyNumberFormat="1" applyFont="1" applyFill="1" applyBorder="1" applyAlignment="1" applyProtection="1">
      <alignment vertical="center"/>
    </xf>
    <xf numFmtId="5" fontId="29" fillId="0" borderId="93" xfId="0" applyNumberFormat="1" applyFont="1" applyFill="1" applyBorder="1" applyAlignment="1" applyProtection="1">
      <alignment vertical="center"/>
    </xf>
    <xf numFmtId="5" fontId="26" fillId="0" borderId="93" xfId="0" applyNumberFormat="1" applyFont="1" applyFill="1" applyBorder="1" applyAlignment="1" applyProtection="1">
      <alignment vertical="center"/>
    </xf>
    <xf numFmtId="42" fontId="22" fillId="0" borderId="93" xfId="0" applyNumberFormat="1" applyFont="1" applyFill="1" applyBorder="1" applyAlignment="1" applyProtection="1">
      <alignment vertical="center"/>
    </xf>
    <xf numFmtId="0" fontId="25" fillId="0" borderId="99" xfId="0" applyFont="1" applyFill="1" applyBorder="1" applyAlignment="1" applyProtection="1"/>
    <xf numFmtId="5" fontId="29" fillId="10" borderId="129" xfId="0" applyNumberFormat="1" applyFont="1" applyFill="1" applyBorder="1" applyAlignment="1" applyProtection="1">
      <alignment vertical="center"/>
    </xf>
    <xf numFmtId="0" fontId="29" fillId="10" borderId="119" xfId="0" applyFont="1" applyFill="1" applyBorder="1" applyProtection="1"/>
    <xf numFmtId="42" fontId="22" fillId="17" borderId="121"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5" fontId="10" fillId="0" borderId="36" xfId="0" applyNumberFormat="1" applyFont="1" applyFill="1" applyBorder="1" applyAlignment="1" applyProtection="1">
      <alignment vertical="center"/>
    </xf>
    <xf numFmtId="44" fontId="22" fillId="0" borderId="0" xfId="0" applyNumberFormat="1" applyFont="1" applyFill="1" applyBorder="1" applyAlignment="1" applyProtection="1">
      <alignment vertical="center"/>
    </xf>
    <xf numFmtId="44" fontId="33" fillId="0" borderId="0" xfId="0" applyNumberFormat="1" applyFont="1" applyFill="1" applyBorder="1" applyAlignment="1" applyProtection="1">
      <alignment vertical="center"/>
    </xf>
    <xf numFmtId="44" fontId="22" fillId="0" borderId="36" xfId="0" applyNumberFormat="1" applyFont="1" applyFill="1" applyBorder="1" applyAlignment="1" applyProtection="1">
      <alignment vertical="center"/>
    </xf>
    <xf numFmtId="44" fontId="15" fillId="0" borderId="0" xfId="0" applyNumberFormat="1" applyFont="1" applyBorder="1" applyProtection="1"/>
    <xf numFmtId="0" fontId="11" fillId="5" borderId="0" xfId="0" applyFont="1" applyFill="1" applyBorder="1" applyAlignment="1" applyProtection="1">
      <alignment horizontal="center" wrapText="1"/>
    </xf>
    <xf numFmtId="5" fontId="24" fillId="0" borderId="0" xfId="0" applyNumberFormat="1" applyFont="1" applyFill="1" applyBorder="1" applyAlignment="1" applyProtection="1">
      <alignment vertical="center"/>
    </xf>
    <xf numFmtId="0" fontId="24" fillId="0" borderId="0" xfId="0" applyFont="1" applyBorder="1" applyProtection="1"/>
    <xf numFmtId="3" fontId="24" fillId="0" borderId="0" xfId="0" applyNumberFormat="1" applyFont="1" applyFill="1" applyBorder="1" applyAlignment="1" applyProtection="1">
      <alignment vertical="center"/>
    </xf>
    <xf numFmtId="5" fontId="29" fillId="0" borderId="0" xfId="0" applyNumberFormat="1" applyFont="1" applyFill="1" applyBorder="1" applyAlignment="1" applyProtection="1">
      <alignment vertical="center"/>
    </xf>
    <xf numFmtId="5" fontId="26" fillId="0" borderId="0" xfId="0" applyNumberFormat="1" applyFont="1" applyFill="1" applyBorder="1" applyAlignment="1" applyProtection="1">
      <alignment vertical="center"/>
    </xf>
    <xf numFmtId="0" fontId="24" fillId="0" borderId="0" xfId="0" applyFont="1" applyBorder="1" applyAlignment="1" applyProtection="1">
      <alignment vertical="center"/>
    </xf>
    <xf numFmtId="0" fontId="24"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164" fontId="24" fillId="0" borderId="0" xfId="0" applyNumberFormat="1" applyFont="1" applyFill="1" applyBorder="1" applyAlignment="1" applyProtection="1">
      <alignment vertical="center"/>
    </xf>
    <xf numFmtId="9" fontId="24" fillId="0" borderId="0" xfId="0" applyNumberFormat="1" applyFont="1" applyFill="1" applyBorder="1" applyAlignment="1" applyProtection="1">
      <alignment vertical="center"/>
    </xf>
    <xf numFmtId="165" fontId="24" fillId="0" borderId="0" xfId="0" applyNumberFormat="1" applyFont="1" applyFill="1" applyBorder="1" applyAlignment="1" applyProtection="1">
      <alignment vertical="center"/>
    </xf>
    <xf numFmtId="9" fontId="24" fillId="0" borderId="0" xfId="0" applyNumberFormat="1" applyFont="1" applyFill="1" applyBorder="1" applyAlignment="1" applyProtection="1">
      <alignment horizontal="right" vertical="center"/>
    </xf>
    <xf numFmtId="5" fontId="24" fillId="0" borderId="0" xfId="0" applyNumberFormat="1" applyFont="1" applyFill="1" applyBorder="1" applyAlignment="1" applyProtection="1">
      <alignment horizontal="center" vertical="center"/>
    </xf>
    <xf numFmtId="5" fontId="24" fillId="0" borderId="36" xfId="0" applyNumberFormat="1" applyFont="1" applyFill="1" applyBorder="1" applyAlignment="1" applyProtection="1">
      <alignment vertical="center"/>
    </xf>
    <xf numFmtId="5" fontId="26" fillId="0" borderId="36" xfId="0" applyNumberFormat="1" applyFont="1" applyFill="1" applyBorder="1" applyAlignment="1" applyProtection="1">
      <alignment vertical="center"/>
    </xf>
    <xf numFmtId="164" fontId="24" fillId="0" borderId="0" xfId="0" applyNumberFormat="1" applyFont="1" applyFill="1" applyBorder="1" applyAlignment="1" applyProtection="1">
      <alignment horizontal="center" vertical="center"/>
    </xf>
    <xf numFmtId="5" fontId="29" fillId="0" borderId="13" xfId="0" applyNumberFormat="1" applyFont="1" applyFill="1" applyBorder="1" applyProtection="1"/>
    <xf numFmtId="5" fontId="26" fillId="0" borderId="13" xfId="0" applyNumberFormat="1" applyFont="1" applyFill="1" applyBorder="1" applyProtection="1"/>
    <xf numFmtId="0" fontId="26" fillId="0" borderId="13" xfId="0" applyNumberFormat="1" applyFont="1" applyFill="1" applyBorder="1" applyProtection="1"/>
    <xf numFmtId="0" fontId="31" fillId="0" borderId="0" xfId="0" applyFont="1" applyFill="1" applyBorder="1" applyProtection="1"/>
    <xf numFmtId="5" fontId="27" fillId="0" borderId="0" xfId="0" applyNumberFormat="1" applyFont="1" applyFill="1" applyBorder="1" applyAlignment="1" applyProtection="1">
      <alignment horizontal="center" vertical="center" wrapText="1"/>
    </xf>
    <xf numFmtId="5" fontId="31" fillId="0" borderId="0" xfId="0" applyNumberFormat="1" applyFont="1" applyFill="1" applyBorder="1" applyAlignment="1" applyProtection="1">
      <alignment vertical="center"/>
    </xf>
    <xf numFmtId="0" fontId="31" fillId="0" borderId="0" xfId="0" applyFont="1" applyFill="1" applyBorder="1" applyAlignment="1" applyProtection="1">
      <alignment vertical="center"/>
    </xf>
    <xf numFmtId="164" fontId="31" fillId="0" borderId="0" xfId="0" applyNumberFormat="1" applyFont="1" applyFill="1" applyBorder="1" applyAlignment="1" applyProtection="1">
      <alignment vertical="center"/>
    </xf>
    <xf numFmtId="0" fontId="24" fillId="0" borderId="0" xfId="0" applyFont="1" applyFill="1" applyBorder="1" applyProtection="1"/>
    <xf numFmtId="5" fontId="28" fillId="0" borderId="0" xfId="0" applyNumberFormat="1" applyFont="1" applyFill="1" applyBorder="1" applyAlignment="1" applyProtection="1">
      <alignment vertical="center"/>
    </xf>
    <xf numFmtId="3" fontId="24" fillId="0" borderId="0" xfId="0" applyNumberFormat="1" applyFont="1" applyBorder="1" applyProtection="1"/>
    <xf numFmtId="5" fontId="24" fillId="0" borderId="0" xfId="0" applyNumberFormat="1" applyFont="1" applyFill="1" applyBorder="1" applyProtection="1"/>
    <xf numFmtId="3" fontId="24" fillId="0" borderId="0" xfId="0" applyNumberFormat="1" applyFont="1" applyFill="1" applyBorder="1" applyProtection="1"/>
    <xf numFmtId="42" fontId="15" fillId="0" borderId="0" xfId="0" applyNumberFormat="1" applyFont="1" applyFill="1" applyBorder="1" applyAlignment="1" applyProtection="1">
      <alignment vertical="center"/>
    </xf>
    <xf numFmtId="42" fontId="19" fillId="0" borderId="0" xfId="0" applyNumberFormat="1" applyFont="1" applyFill="1" applyBorder="1" applyAlignment="1" applyProtection="1">
      <alignment vertical="center"/>
    </xf>
    <xf numFmtId="42" fontId="18" fillId="0" borderId="0" xfId="0" applyNumberFormat="1" applyFont="1" applyBorder="1" applyAlignment="1" applyProtection="1">
      <alignment vertical="center"/>
    </xf>
    <xf numFmtId="42" fontId="15" fillId="0" borderId="0" xfId="0" applyNumberFormat="1" applyFont="1" applyBorder="1" applyProtection="1"/>
    <xf numFmtId="42" fontId="15" fillId="0" borderId="0" xfId="0" applyNumberFormat="1" applyFont="1" applyBorder="1" applyAlignment="1" applyProtection="1">
      <alignment vertical="center"/>
    </xf>
    <xf numFmtId="5" fontId="29" fillId="0" borderId="13" xfId="0" applyNumberFormat="1" applyFont="1" applyFill="1" applyBorder="1" applyAlignment="1" applyProtection="1">
      <alignment vertical="center"/>
    </xf>
    <xf numFmtId="5" fontId="26" fillId="0" borderId="13" xfId="0" applyNumberFormat="1" applyFont="1" applyFill="1" applyBorder="1" applyAlignment="1" applyProtection="1">
      <alignment vertical="center"/>
    </xf>
    <xf numFmtId="5" fontId="24" fillId="0" borderId="13" xfId="0" applyNumberFormat="1" applyFont="1" applyFill="1" applyBorder="1" applyAlignment="1" applyProtection="1">
      <alignment vertical="center"/>
    </xf>
    <xf numFmtId="0" fontId="29" fillId="0" borderId="13"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Fill="1" applyBorder="1" applyAlignment="1" applyProtection="1">
      <alignment horizontal="left" vertical="center"/>
    </xf>
    <xf numFmtId="0" fontId="31" fillId="0" borderId="0" xfId="0" applyFont="1" applyFill="1" applyBorder="1" applyAlignment="1" applyProtection="1">
      <alignment horizontal="center" wrapText="1"/>
    </xf>
    <xf numFmtId="42" fontId="15" fillId="0" borderId="0" xfId="0" applyNumberFormat="1" applyFont="1" applyBorder="1" applyAlignment="1" applyProtection="1"/>
    <xf numFmtId="42" fontId="15" fillId="0" borderId="13" xfId="0" applyNumberFormat="1" applyFont="1" applyBorder="1" applyProtection="1"/>
    <xf numFmtId="42" fontId="15" fillId="0" borderId="36" xfId="0" applyNumberFormat="1" applyFont="1" applyFill="1" applyBorder="1" applyAlignment="1" applyProtection="1">
      <alignment vertical="center"/>
    </xf>
    <xf numFmtId="42" fontId="15" fillId="0" borderId="76" xfId="0" applyNumberFormat="1" applyFont="1" applyFill="1" applyBorder="1" applyAlignment="1" applyProtection="1">
      <alignment vertical="center"/>
      <protection locked="0"/>
    </xf>
    <xf numFmtId="5" fontId="26" fillId="0" borderId="0" xfId="0" applyNumberFormat="1" applyFont="1" applyFill="1" applyBorder="1" applyAlignment="1" applyProtection="1">
      <alignment horizontal="right" vertical="center"/>
    </xf>
    <xf numFmtId="5" fontId="24" fillId="0" borderId="0" xfId="0" applyNumberFormat="1" applyFont="1" applyFill="1" applyBorder="1" applyAlignment="1" applyProtection="1">
      <alignment horizontal="left" vertical="center"/>
    </xf>
    <xf numFmtId="0" fontId="24" fillId="0" borderId="0" xfId="0" applyFont="1" applyBorder="1" applyAlignment="1" applyProtection="1">
      <alignment horizontal="left"/>
    </xf>
    <xf numFmtId="42" fontId="15" fillId="12" borderId="144" xfId="0" applyNumberFormat="1" applyFont="1" applyFill="1" applyBorder="1" applyAlignment="1" applyProtection="1">
      <alignment vertical="center"/>
    </xf>
    <xf numFmtId="42" fontId="15" fillId="12" borderId="18" xfId="0" applyNumberFormat="1" applyFont="1" applyFill="1" applyBorder="1" applyAlignment="1" applyProtection="1">
      <alignment vertical="center"/>
    </xf>
    <xf numFmtId="42" fontId="15" fillId="6" borderId="141" xfId="0" applyNumberFormat="1" applyFont="1" applyFill="1" applyBorder="1" applyAlignment="1" applyProtection="1">
      <alignment vertical="center"/>
    </xf>
    <xf numFmtId="42" fontId="15" fillId="12" borderId="23" xfId="0" applyNumberFormat="1" applyFont="1" applyFill="1" applyBorder="1" applyAlignment="1" applyProtection="1">
      <alignment vertical="center"/>
    </xf>
    <xf numFmtId="42" fontId="15" fillId="0" borderId="47" xfId="0" applyNumberFormat="1" applyFont="1" applyFill="1" applyBorder="1" applyAlignment="1" applyProtection="1">
      <alignment vertical="center"/>
      <protection locked="0"/>
    </xf>
    <xf numFmtId="42" fontId="15" fillId="12" borderId="89" xfId="0" applyNumberFormat="1" applyFont="1" applyFill="1" applyBorder="1" applyAlignment="1" applyProtection="1">
      <alignment vertical="center"/>
    </xf>
    <xf numFmtId="42" fontId="15" fillId="12" borderId="143" xfId="0" applyNumberFormat="1" applyFont="1" applyFill="1" applyBorder="1" applyAlignment="1" applyProtection="1">
      <alignment vertical="center"/>
    </xf>
    <xf numFmtId="42" fontId="27" fillId="16" borderId="141" xfId="0" applyNumberFormat="1" applyFont="1" applyFill="1" applyBorder="1" applyAlignment="1" applyProtection="1">
      <alignment vertical="center"/>
    </xf>
    <xf numFmtId="42" fontId="31" fillId="16" borderId="127" xfId="0" applyNumberFormat="1" applyFont="1" applyFill="1" applyBorder="1" applyAlignment="1" applyProtection="1">
      <alignment vertical="center"/>
    </xf>
    <xf numFmtId="42" fontId="15" fillId="19" borderId="135" xfId="0" applyNumberFormat="1" applyFont="1" applyFill="1" applyBorder="1" applyAlignment="1" applyProtection="1">
      <alignment vertical="center"/>
    </xf>
    <xf numFmtId="42" fontId="15" fillId="18" borderId="139" xfId="0" applyNumberFormat="1" applyFont="1" applyFill="1" applyBorder="1" applyAlignment="1" applyProtection="1">
      <alignment vertical="center"/>
    </xf>
    <xf numFmtId="42" fontId="15" fillId="18" borderId="86" xfId="0" applyNumberFormat="1" applyFont="1" applyFill="1" applyBorder="1" applyAlignment="1" applyProtection="1">
      <alignment vertical="center"/>
    </xf>
    <xf numFmtId="42" fontId="15" fillId="18" borderId="60" xfId="0" applyNumberFormat="1" applyFont="1" applyFill="1" applyBorder="1" applyAlignment="1" applyProtection="1">
      <alignment vertical="center"/>
    </xf>
    <xf numFmtId="42" fontId="15" fillId="18" borderId="135" xfId="0" applyNumberFormat="1" applyFont="1" applyFill="1" applyBorder="1" applyAlignment="1" applyProtection="1">
      <alignment vertical="center"/>
    </xf>
    <xf numFmtId="42" fontId="15" fillId="18" borderId="132" xfId="0" applyNumberFormat="1" applyFont="1" applyFill="1" applyBorder="1" applyAlignment="1" applyProtection="1">
      <alignment vertical="center"/>
    </xf>
    <xf numFmtId="42" fontId="15" fillId="18" borderId="133" xfId="0" applyNumberFormat="1" applyFont="1" applyFill="1" applyBorder="1" applyAlignment="1" applyProtection="1">
      <alignment vertical="center"/>
    </xf>
    <xf numFmtId="42" fontId="15" fillId="18" borderId="129" xfId="0" applyNumberFormat="1" applyFont="1" applyFill="1" applyBorder="1" applyAlignment="1" applyProtection="1">
      <alignment vertical="center"/>
    </xf>
    <xf numFmtId="42" fontId="15" fillId="18" borderId="25" xfId="0" applyNumberFormat="1" applyFont="1" applyFill="1" applyBorder="1" applyAlignment="1" applyProtection="1">
      <alignment vertical="center"/>
    </xf>
    <xf numFmtId="42" fontId="15" fillId="18" borderId="3" xfId="0" applyNumberFormat="1" applyFont="1" applyFill="1" applyBorder="1" applyAlignment="1" applyProtection="1">
      <alignment vertical="center"/>
    </xf>
    <xf numFmtId="42" fontId="15" fillId="18" borderId="75" xfId="0" applyNumberFormat="1" applyFont="1" applyFill="1" applyBorder="1" applyAlignment="1" applyProtection="1">
      <alignment vertical="center"/>
    </xf>
    <xf numFmtId="42" fontId="15" fillId="18" borderId="67" xfId="0" applyNumberFormat="1" applyFont="1" applyFill="1" applyBorder="1" applyAlignment="1" applyProtection="1">
      <alignment vertical="center"/>
    </xf>
    <xf numFmtId="42" fontId="15" fillId="6" borderId="12" xfId="0" applyNumberFormat="1" applyFont="1" applyFill="1" applyBorder="1" applyAlignment="1" applyProtection="1">
      <alignment vertical="center"/>
    </xf>
    <xf numFmtId="42" fontId="15" fillId="18" borderId="11" xfId="0" applyNumberFormat="1" applyFont="1" applyFill="1" applyBorder="1" applyAlignment="1" applyProtection="1">
      <alignment vertical="center"/>
    </xf>
    <xf numFmtId="42" fontId="15" fillId="18" borderId="16" xfId="0" applyNumberFormat="1" applyFont="1" applyFill="1" applyBorder="1" applyAlignment="1" applyProtection="1">
      <alignment vertical="center"/>
    </xf>
    <xf numFmtId="42" fontId="15" fillId="18" borderId="29" xfId="0" applyNumberFormat="1" applyFont="1" applyFill="1" applyBorder="1" applyAlignment="1" applyProtection="1">
      <alignment vertical="center"/>
    </xf>
    <xf numFmtId="42" fontId="15" fillId="18" borderId="84" xfId="0" applyNumberFormat="1" applyFont="1" applyFill="1" applyBorder="1" applyAlignment="1" applyProtection="1">
      <alignment vertical="center"/>
    </xf>
    <xf numFmtId="42" fontId="15" fillId="18" borderId="91" xfId="0" applyNumberFormat="1" applyFont="1" applyFill="1" applyBorder="1" applyAlignment="1" applyProtection="1">
      <alignment vertical="center"/>
    </xf>
    <xf numFmtId="5" fontId="29" fillId="0" borderId="77" xfId="0" applyNumberFormat="1" applyFont="1" applyFill="1" applyBorder="1" applyAlignment="1" applyProtection="1">
      <alignment vertical="center"/>
    </xf>
    <xf numFmtId="5" fontId="26" fillId="0" borderId="77" xfId="0" applyNumberFormat="1" applyFont="1" applyFill="1" applyBorder="1" applyAlignment="1" applyProtection="1">
      <alignment vertical="center"/>
    </xf>
    <xf numFmtId="5" fontId="24" fillId="0" borderId="77" xfId="0" applyNumberFormat="1" applyFont="1" applyFill="1" applyBorder="1" applyAlignment="1" applyProtection="1">
      <alignment vertical="center"/>
    </xf>
    <xf numFmtId="42" fontId="15" fillId="0" borderId="77" xfId="0" applyNumberFormat="1" applyFont="1" applyFill="1" applyBorder="1" applyAlignment="1" applyProtection="1">
      <alignment vertical="center"/>
    </xf>
    <xf numFmtId="5" fontId="24" fillId="5" borderId="36" xfId="0" applyNumberFormat="1" applyFont="1" applyFill="1" applyBorder="1" applyAlignment="1" applyProtection="1">
      <alignment vertical="center"/>
    </xf>
    <xf numFmtId="3" fontId="24" fillId="5" borderId="36" xfId="0" applyNumberFormat="1" applyFont="1" applyFill="1" applyBorder="1" applyAlignment="1" applyProtection="1">
      <alignment vertical="center"/>
    </xf>
    <xf numFmtId="42" fontId="15" fillId="5" borderId="36" xfId="0" applyNumberFormat="1" applyFont="1" applyFill="1" applyBorder="1" applyAlignment="1" applyProtection="1">
      <alignment vertical="center"/>
    </xf>
    <xf numFmtId="42" fontId="15" fillId="14" borderId="36" xfId="0" applyNumberFormat="1" applyFont="1" applyFill="1" applyBorder="1" applyAlignment="1" applyProtection="1">
      <alignment vertical="center"/>
    </xf>
    <xf numFmtId="5" fontId="29" fillId="0" borderId="36" xfId="0" applyNumberFormat="1" applyFont="1" applyFill="1" applyBorder="1" applyAlignment="1" applyProtection="1">
      <alignment vertical="center"/>
    </xf>
    <xf numFmtId="42" fontId="15" fillId="18" borderId="76" xfId="0" applyNumberFormat="1" applyFont="1" applyFill="1" applyBorder="1" applyAlignment="1" applyProtection="1">
      <alignment vertical="center"/>
    </xf>
    <xf numFmtId="42" fontId="15" fillId="18" borderId="126" xfId="0" applyNumberFormat="1" applyFont="1" applyFill="1" applyBorder="1" applyAlignment="1" applyProtection="1">
      <alignment vertical="center"/>
    </xf>
    <xf numFmtId="0" fontId="15" fillId="0" borderId="0" xfId="0" applyFont="1" applyBorder="1" applyProtection="1"/>
    <xf numFmtId="0" fontId="33" fillId="0" borderId="0" xfId="0" applyFont="1" applyBorder="1" applyProtection="1"/>
    <xf numFmtId="0" fontId="22" fillId="0" borderId="0" xfId="0" applyFont="1" applyBorder="1" applyProtection="1"/>
    <xf numFmtId="0" fontId="19" fillId="0" borderId="0" xfId="0" applyFont="1" applyBorder="1" applyProtection="1"/>
    <xf numFmtId="0" fontId="42" fillId="0" borderId="0" xfId="0" applyFont="1" applyBorder="1" applyProtection="1"/>
    <xf numFmtId="5" fontId="40" fillId="0" borderId="0" xfId="0" applyNumberFormat="1" applyFont="1" applyFill="1" applyBorder="1" applyProtection="1"/>
    <xf numFmtId="5" fontId="40" fillId="0" borderId="0" xfId="0" applyNumberFormat="1" applyFont="1" applyBorder="1" applyProtection="1"/>
    <xf numFmtId="0" fontId="44" fillId="0" borderId="0" xfId="0" applyFont="1" applyBorder="1" applyProtection="1"/>
    <xf numFmtId="5" fontId="33" fillId="0" borderId="0" xfId="0" applyNumberFormat="1" applyFont="1" applyFill="1" applyBorder="1" applyProtection="1"/>
    <xf numFmtId="5" fontId="44" fillId="0" borderId="157" xfId="0" applyNumberFormat="1" applyFont="1" applyFill="1" applyBorder="1" applyProtection="1"/>
    <xf numFmtId="5" fontId="44" fillId="0" borderId="59" xfId="0" applyNumberFormat="1" applyFont="1" applyFill="1" applyBorder="1" applyProtection="1"/>
    <xf numFmtId="0" fontId="44" fillId="0" borderId="59"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1" xfId="0" applyNumberFormat="1" applyFont="1" applyFill="1" applyBorder="1" applyAlignment="1" applyProtection="1"/>
    <xf numFmtId="0" fontId="14" fillId="0" borderId="0" xfId="0" applyNumberFormat="1" applyFont="1" applyFill="1" applyBorder="1" applyAlignment="1" applyProtection="1"/>
    <xf numFmtId="0" fontId="9"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9" fillId="16" borderId="149" xfId="0" applyFont="1" applyFill="1" applyBorder="1" applyAlignment="1" applyProtection="1">
      <alignment vertical="center" wrapText="1"/>
    </xf>
    <xf numFmtId="0" fontId="24" fillId="0" borderId="219" xfId="0" applyFont="1" applyBorder="1" applyAlignment="1" applyProtection="1"/>
    <xf numFmtId="0" fontId="24" fillId="0" borderId="220" xfId="0" applyFont="1" applyBorder="1" applyAlignment="1" applyProtection="1"/>
    <xf numFmtId="0" fontId="24" fillId="0" borderId="0" xfId="0" applyFont="1" applyBorder="1" applyAlignment="1" applyProtection="1"/>
    <xf numFmtId="0" fontId="24" fillId="0" borderId="3" xfId="0" applyFont="1" applyBorder="1" applyAlignment="1" applyProtection="1"/>
    <xf numFmtId="5" fontId="24" fillId="0" borderId="219" xfId="0" applyNumberFormat="1" applyFont="1" applyFill="1" applyBorder="1" applyAlignment="1" applyProtection="1">
      <alignment vertical="center"/>
    </xf>
    <xf numFmtId="0" fontId="24" fillId="0" borderId="219" xfId="0" applyFont="1" applyFill="1" applyBorder="1" applyAlignment="1" applyProtection="1">
      <alignment vertical="center"/>
    </xf>
    <xf numFmtId="5" fontId="29" fillId="10" borderId="217" xfId="0" applyNumberFormat="1" applyFont="1" applyFill="1" applyBorder="1" applyAlignment="1" applyProtection="1">
      <alignment vertical="center"/>
    </xf>
    <xf numFmtId="5" fontId="29" fillId="10" borderId="219" xfId="0" applyNumberFormat="1" applyFont="1" applyFill="1" applyBorder="1" applyAlignment="1" applyProtection="1">
      <alignment vertical="center"/>
    </xf>
    <xf numFmtId="0" fontId="29" fillId="10" borderId="12" xfId="0" applyFont="1" applyFill="1" applyBorder="1" applyAlignment="1" applyProtection="1"/>
    <xf numFmtId="0" fontId="29" fillId="10" borderId="13" xfId="0" applyFont="1" applyFill="1" applyBorder="1" applyAlignment="1" applyProtection="1"/>
    <xf numFmtId="0" fontId="32" fillId="0" borderId="0" xfId="0" applyFont="1" applyBorder="1" applyAlignment="1" applyProtection="1">
      <alignment vertical="center"/>
    </xf>
    <xf numFmtId="0" fontId="16" fillId="0" borderId="0" xfId="0" applyFont="1" applyBorder="1" applyProtection="1"/>
    <xf numFmtId="44" fontId="15" fillId="0" borderId="0" xfId="0" applyNumberFormat="1" applyFont="1" applyFill="1" applyBorder="1" applyProtection="1"/>
    <xf numFmtId="5" fontId="8" fillId="7" borderId="73" xfId="0" applyNumberFormat="1" applyFont="1" applyFill="1" applyBorder="1" applyAlignment="1" applyProtection="1">
      <alignment horizontal="center" vertical="center" wrapText="1"/>
    </xf>
    <xf numFmtId="0" fontId="51" fillId="0" borderId="0" xfId="0" applyFont="1" applyBorder="1" applyProtection="1"/>
    <xf numFmtId="0" fontId="53" fillId="0" borderId="0" xfId="0" applyFont="1" applyBorder="1" applyAlignment="1" applyProtection="1"/>
    <xf numFmtId="0" fontId="53" fillId="0" borderId="0" xfId="0" applyFont="1" applyBorder="1" applyProtection="1"/>
    <xf numFmtId="6" fontId="53" fillId="0" borderId="0" xfId="0" applyNumberFormat="1" applyFont="1" applyBorder="1" applyProtection="1"/>
    <xf numFmtId="6" fontId="54" fillId="16" borderId="147" xfId="0" applyNumberFormat="1" applyFont="1" applyFill="1" applyBorder="1" applyAlignment="1" applyProtection="1">
      <alignment horizontal="center"/>
    </xf>
    <xf numFmtId="0" fontId="54" fillId="16" borderId="146" xfId="0" applyFont="1" applyFill="1" applyBorder="1" applyAlignment="1" applyProtection="1">
      <alignment horizontal="center" vertical="center" wrapText="1"/>
    </xf>
    <xf numFmtId="0" fontId="55" fillId="0" borderId="13" xfId="0" applyFont="1" applyFill="1" applyBorder="1" applyProtection="1"/>
    <xf numFmtId="0" fontId="53" fillId="0" borderId="13" xfId="0" applyFont="1" applyFill="1" applyBorder="1" applyAlignment="1" applyProtection="1"/>
    <xf numFmtId="0" fontId="54" fillId="0" borderId="0" xfId="0" applyFont="1" applyBorder="1" applyAlignment="1" applyProtection="1"/>
    <xf numFmtId="42" fontId="53" fillId="6" borderId="103" xfId="0" applyNumberFormat="1" applyFont="1" applyFill="1" applyBorder="1" applyProtection="1"/>
    <xf numFmtId="0" fontId="53" fillId="0" borderId="6" xfId="0" applyFont="1" applyBorder="1" applyAlignment="1" applyProtection="1"/>
    <xf numFmtId="42" fontId="53" fillId="6" borderId="101" xfId="0" applyNumberFormat="1" applyFont="1" applyFill="1" applyBorder="1" applyProtection="1"/>
    <xf numFmtId="42" fontId="53" fillId="6" borderId="102" xfId="0" applyNumberFormat="1" applyFont="1" applyFill="1" applyBorder="1" applyProtection="1"/>
    <xf numFmtId="0" fontId="53" fillId="0" borderId="6" xfId="0" applyFont="1" applyBorder="1" applyProtection="1"/>
    <xf numFmtId="0" fontId="54" fillId="0" borderId="0" xfId="0" applyFont="1" applyBorder="1" applyProtection="1"/>
    <xf numFmtId="42" fontId="53" fillId="6" borderId="100" xfId="0" applyNumberFormat="1" applyFont="1" applyFill="1" applyBorder="1" applyProtection="1"/>
    <xf numFmtId="42" fontId="53" fillId="6" borderId="88" xfId="0" applyNumberFormat="1" applyFont="1" applyFill="1" applyBorder="1" applyProtection="1"/>
    <xf numFmtId="42" fontId="54" fillId="6" borderId="151" xfId="0" applyNumberFormat="1" applyFont="1" applyFill="1" applyBorder="1" applyProtection="1"/>
    <xf numFmtId="0" fontId="55" fillId="0" borderId="13" xfId="0" applyFont="1" applyBorder="1" applyProtection="1"/>
    <xf numFmtId="0" fontId="53" fillId="0" borderId="13" xfId="0" applyFont="1" applyBorder="1" applyAlignment="1" applyProtection="1"/>
    <xf numFmtId="0" fontId="53" fillId="0" borderId="13" xfId="0" applyFont="1" applyBorder="1" applyProtection="1"/>
    <xf numFmtId="6" fontId="53" fillId="0" borderId="13" xfId="0" applyNumberFormat="1" applyFont="1" applyBorder="1" applyProtection="1"/>
    <xf numFmtId="6" fontId="53" fillId="0" borderId="43" xfId="0" applyNumberFormat="1" applyFont="1" applyBorder="1" applyProtection="1"/>
    <xf numFmtId="42" fontId="53" fillId="6" borderId="5" xfId="0" applyNumberFormat="1" applyFont="1" applyFill="1" applyBorder="1" applyProtection="1"/>
    <xf numFmtId="0" fontId="53" fillId="0" borderId="6" xfId="0" applyFont="1" applyFill="1" applyBorder="1" applyAlignment="1" applyProtection="1"/>
    <xf numFmtId="0" fontId="54" fillId="0" borderId="0" xfId="0" applyFont="1" applyFill="1" applyBorder="1" applyAlignment="1" applyProtection="1"/>
    <xf numFmtId="42" fontId="54" fillId="6" borderId="5" xfId="0" applyNumberFormat="1" applyFont="1" applyFill="1" applyBorder="1" applyProtection="1"/>
    <xf numFmtId="8" fontId="53" fillId="0" borderId="43" xfId="0" applyNumberFormat="1" applyFont="1" applyBorder="1" applyProtection="1"/>
    <xf numFmtId="166" fontId="15" fillId="0" borderId="0" xfId="0" applyNumberFormat="1" applyFont="1" applyFill="1" applyBorder="1" applyAlignment="1" applyProtection="1">
      <alignment horizontal="left"/>
    </xf>
    <xf numFmtId="0" fontId="40" fillId="0" borderId="0" xfId="0" applyFont="1" applyFill="1" applyBorder="1" applyAlignment="1" applyProtection="1"/>
    <xf numFmtId="44" fontId="15" fillId="0" borderId="0" xfId="0" applyNumberFormat="1" applyFont="1" applyFill="1" applyBorder="1" applyAlignment="1" applyProtection="1">
      <alignment horizontal="left"/>
    </xf>
    <xf numFmtId="44" fontId="19" fillId="0" borderId="0" xfId="0" applyNumberFormat="1" applyFont="1" applyFill="1" applyBorder="1" applyAlignment="1" applyProtection="1">
      <alignment horizontal="left"/>
    </xf>
    <xf numFmtId="44" fontId="15" fillId="6" borderId="163" xfId="0" applyNumberFormat="1" applyFont="1" applyFill="1" applyBorder="1" applyAlignment="1" applyProtection="1"/>
    <xf numFmtId="44" fontId="15" fillId="6" borderId="159" xfId="0" applyNumberFormat="1" applyFont="1" applyFill="1" applyBorder="1" applyAlignment="1" applyProtection="1"/>
    <xf numFmtId="44" fontId="19" fillId="6" borderId="151" xfId="0" applyNumberFormat="1" applyFont="1" applyFill="1" applyBorder="1" applyAlignment="1" applyProtection="1"/>
    <xf numFmtId="0" fontId="3" fillId="0" borderId="30" xfId="0" applyFont="1" applyFill="1" applyBorder="1" applyAlignment="1" applyProtection="1">
      <alignment vertical="center"/>
    </xf>
    <xf numFmtId="0" fontId="15" fillId="0" borderId="34" xfId="0" applyFont="1" applyFill="1" applyBorder="1" applyProtection="1"/>
    <xf numFmtId="0" fontId="15" fillId="0" borderId="33" xfId="0" applyFont="1" applyFill="1" applyBorder="1" applyAlignment="1" applyProtection="1">
      <alignment vertical="center"/>
    </xf>
    <xf numFmtId="0" fontId="47" fillId="0" borderId="0" xfId="0" applyFont="1" applyFill="1" applyAlignment="1" applyProtection="1">
      <alignment horizontal="right"/>
    </xf>
    <xf numFmtId="0" fontId="15" fillId="0" borderId="35" xfId="0" applyFont="1" applyFill="1" applyBorder="1" applyAlignment="1" applyProtection="1">
      <alignment vertical="center"/>
    </xf>
    <xf numFmtId="0" fontId="15" fillId="0" borderId="36" xfId="0" applyFont="1" applyFill="1" applyBorder="1" applyAlignment="1" applyProtection="1">
      <alignment vertical="center"/>
    </xf>
    <xf numFmtId="0" fontId="15" fillId="0" borderId="36" xfId="0" applyFont="1" applyFill="1" applyBorder="1" applyProtection="1"/>
    <xf numFmtId="0" fontId="15" fillId="0" borderId="37" xfId="0" applyFont="1" applyFill="1" applyBorder="1" applyProtection="1"/>
    <xf numFmtId="0" fontId="15" fillId="0" borderId="30" xfId="0" applyFont="1" applyFill="1" applyBorder="1" applyProtection="1"/>
    <xf numFmtId="0" fontId="15" fillId="0" borderId="31" xfId="0" applyFont="1" applyFill="1" applyBorder="1" applyProtection="1"/>
    <xf numFmtId="0" fontId="15" fillId="0" borderId="31" xfId="0" applyFont="1" applyFill="1" applyBorder="1" applyAlignment="1" applyProtection="1">
      <alignment horizontal="center"/>
    </xf>
    <xf numFmtId="166" fontId="15" fillId="0" borderId="31" xfId="0" applyNumberFormat="1" applyFont="1" applyFill="1" applyBorder="1" applyProtection="1"/>
    <xf numFmtId="9" fontId="15" fillId="0" borderId="31" xfId="0" applyNumberFormat="1" applyFont="1" applyFill="1" applyBorder="1" applyAlignment="1" applyProtection="1">
      <alignment horizontal="center"/>
    </xf>
    <xf numFmtId="166" fontId="15" fillId="0" borderId="31" xfId="0" applyNumberFormat="1" applyFont="1" applyFill="1" applyBorder="1" applyAlignment="1" applyProtection="1">
      <alignment horizontal="center"/>
    </xf>
    <xf numFmtId="3" fontId="15" fillId="0" borderId="31" xfId="0" applyNumberFormat="1" applyFont="1" applyFill="1" applyBorder="1" applyProtection="1"/>
    <xf numFmtId="0" fontId="15" fillId="0" borderId="32" xfId="0" applyFont="1" applyFill="1" applyBorder="1" applyProtection="1"/>
    <xf numFmtId="0" fontId="15" fillId="0" borderId="33" xfId="0" applyFont="1" applyFill="1" applyBorder="1" applyProtection="1"/>
    <xf numFmtId="0" fontId="15" fillId="0" borderId="0" xfId="0" applyFont="1" applyFill="1" applyBorder="1" applyAlignment="1" applyProtection="1">
      <alignment horizontal="center"/>
    </xf>
    <xf numFmtId="166" fontId="15" fillId="0" borderId="0" xfId="0" applyNumberFormat="1" applyFont="1" applyFill="1" applyBorder="1" applyProtection="1"/>
    <xf numFmtId="9" fontId="15"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center"/>
    </xf>
    <xf numFmtId="3" fontId="15" fillId="0" borderId="0" xfId="0" applyNumberFormat="1" applyFont="1" applyFill="1" applyBorder="1" applyProtection="1"/>
    <xf numFmtId="166" fontId="15" fillId="0" borderId="0" xfId="0" applyNumberFormat="1" applyFont="1" applyFill="1" applyBorder="1" applyAlignment="1" applyProtection="1">
      <alignment horizontal="center" wrapText="1"/>
    </xf>
    <xf numFmtId="0" fontId="15" fillId="0" borderId="33" xfId="0" applyFont="1" applyFill="1" applyBorder="1" applyAlignment="1" applyProtection="1">
      <alignment wrapText="1"/>
    </xf>
    <xf numFmtId="166" fontId="15" fillId="0" borderId="0" xfId="0" applyNumberFormat="1" applyFont="1" applyFill="1" applyBorder="1" applyAlignment="1" applyProtection="1">
      <alignment wrapText="1"/>
    </xf>
    <xf numFmtId="3" fontId="16" fillId="0" borderId="34" xfId="0" applyNumberFormat="1" applyFont="1" applyFill="1" applyBorder="1" applyProtection="1"/>
    <xf numFmtId="166" fontId="16" fillId="0" borderId="34" xfId="0" applyNumberFormat="1" applyFont="1" applyFill="1" applyBorder="1" applyProtection="1"/>
    <xf numFmtId="3" fontId="16" fillId="0" borderId="33" xfId="0" applyNumberFormat="1" applyFont="1" applyFill="1" applyBorder="1" applyProtection="1"/>
    <xf numFmtId="166" fontId="16" fillId="0" borderId="13" xfId="0" applyNumberFormat="1" applyFont="1" applyFill="1" applyBorder="1" applyAlignment="1" applyProtection="1">
      <alignment horizontal="right"/>
    </xf>
    <xf numFmtId="166" fontId="16" fillId="0" borderId="111" xfId="0" applyNumberFormat="1" applyFont="1" applyFill="1" applyBorder="1" applyProtection="1"/>
    <xf numFmtId="166" fontId="16" fillId="0" borderId="0" xfId="0" applyNumberFormat="1" applyFont="1" applyFill="1" applyBorder="1" applyProtection="1"/>
    <xf numFmtId="3" fontId="16" fillId="0" borderId="0" xfId="0" applyNumberFormat="1" applyFont="1" applyFill="1" applyBorder="1" applyProtection="1"/>
    <xf numFmtId="3" fontId="17" fillId="0" borderId="0" xfId="0" applyNumberFormat="1" applyFont="1" applyFill="1" applyBorder="1" applyProtection="1"/>
    <xf numFmtId="166" fontId="14" fillId="0" borderId="0" xfId="0" applyNumberFormat="1" applyFont="1" applyFill="1" applyBorder="1" applyProtection="1"/>
    <xf numFmtId="166" fontId="19" fillId="0" borderId="0" xfId="0" applyNumberFormat="1" applyFont="1" applyFill="1" applyBorder="1" applyProtection="1"/>
    <xf numFmtId="166" fontId="16" fillId="0" borderId="0" xfId="0" applyNumberFormat="1" applyFont="1" applyFill="1" applyBorder="1" applyAlignment="1" applyProtection="1">
      <alignment horizontal="right"/>
    </xf>
    <xf numFmtId="0" fontId="40" fillId="0" borderId="34" xfId="0" applyFont="1" applyFill="1" applyBorder="1" applyAlignment="1" applyProtection="1">
      <alignment wrapText="1"/>
    </xf>
    <xf numFmtId="0" fontId="40" fillId="7" borderId="0" xfId="0" applyFont="1" applyFill="1" applyBorder="1" applyAlignment="1" applyProtection="1">
      <alignment vertical="center"/>
    </xf>
    <xf numFmtId="0" fontId="54" fillId="7" borderId="0" xfId="0" applyFont="1" applyFill="1" applyBorder="1" applyAlignment="1" applyProtection="1">
      <alignment horizontal="left" vertical="center"/>
    </xf>
    <xf numFmtId="0" fontId="54" fillId="7" borderId="0" xfId="0" applyFont="1" applyFill="1" applyBorder="1" applyAlignment="1" applyProtection="1">
      <alignment horizontal="right" vertical="center"/>
    </xf>
    <xf numFmtId="0" fontId="42" fillId="16" borderId="152" xfId="0" applyFont="1" applyFill="1" applyBorder="1" applyAlignment="1" applyProtection="1">
      <alignment horizontal="center" vertical="center"/>
    </xf>
    <xf numFmtId="0" fontId="42" fillId="8" borderId="201" xfId="0" applyFont="1" applyFill="1" applyBorder="1" applyAlignment="1" applyProtection="1">
      <alignment horizontal="center" vertical="center"/>
    </xf>
    <xf numFmtId="5" fontId="42" fillId="8" borderId="2" xfId="0" applyNumberFormat="1" applyFont="1" applyFill="1" applyBorder="1" applyAlignment="1" applyProtection="1">
      <alignment vertical="center"/>
    </xf>
    <xf numFmtId="5" fontId="42" fillId="8" borderId="0" xfId="0" applyNumberFormat="1" applyFont="1" applyFill="1" applyBorder="1" applyAlignment="1" applyProtection="1">
      <alignment vertical="center"/>
    </xf>
    <xf numFmtId="0" fontId="54" fillId="23" borderId="0" xfId="0" applyFont="1" applyFill="1" applyBorder="1" applyAlignment="1" applyProtection="1">
      <alignment horizontal="left" vertical="center"/>
    </xf>
    <xf numFmtId="0" fontId="54" fillId="23" borderId="0" xfId="0" applyFont="1" applyFill="1" applyBorder="1" applyAlignment="1" applyProtection="1">
      <alignment horizontal="right" vertical="center"/>
    </xf>
    <xf numFmtId="0" fontId="42" fillId="16" borderId="151" xfId="0" applyFont="1" applyFill="1" applyBorder="1" applyAlignment="1" applyProtection="1">
      <alignment horizontal="center" vertical="center" wrapText="1"/>
    </xf>
    <xf numFmtId="6" fontId="40" fillId="8" borderId="2" xfId="0" applyNumberFormat="1" applyFont="1" applyFill="1" applyBorder="1" applyAlignment="1" applyProtection="1">
      <alignment horizontal="right" vertical="center"/>
    </xf>
    <xf numFmtId="6" fontId="40" fillId="8" borderId="0" xfId="0" applyNumberFormat="1" applyFont="1" applyFill="1" applyBorder="1" applyAlignment="1" applyProtection="1">
      <alignment horizontal="right" vertical="center"/>
    </xf>
    <xf numFmtId="6" fontId="40" fillId="8" borderId="3" xfId="0" applyNumberFormat="1" applyFont="1" applyFill="1" applyBorder="1" applyAlignment="1" applyProtection="1">
      <alignment horizontal="right" vertical="center"/>
    </xf>
    <xf numFmtId="0" fontId="42" fillId="0" borderId="0" xfId="0" applyFont="1" applyFill="1" applyBorder="1" applyAlignment="1" applyProtection="1">
      <alignment horizontal="left" vertical="center"/>
    </xf>
    <xf numFmtId="0" fontId="15" fillId="22" borderId="0" xfId="0" applyFont="1" applyFill="1" applyBorder="1" applyProtection="1"/>
    <xf numFmtId="0" fontId="42" fillId="16" borderId="151" xfId="0" applyFont="1" applyFill="1" applyBorder="1" applyAlignment="1" applyProtection="1">
      <alignment horizontal="center" vertical="center"/>
    </xf>
    <xf numFmtId="6" fontId="42" fillId="8" borderId="3" xfId="0" applyNumberFormat="1" applyFont="1" applyFill="1" applyBorder="1" applyAlignment="1" applyProtection="1">
      <alignment vertical="center"/>
    </xf>
    <xf numFmtId="0" fontId="40" fillId="0" borderId="171" xfId="0" applyFont="1" applyFill="1" applyBorder="1" applyAlignment="1" applyProtection="1">
      <alignment horizontal="left" vertical="center"/>
    </xf>
    <xf numFmtId="0" fontId="40" fillId="0" borderId="173" xfId="0" applyFont="1" applyFill="1" applyBorder="1" applyAlignment="1" applyProtection="1">
      <alignment vertical="center"/>
    </xf>
    <xf numFmtId="0" fontId="40" fillId="0" borderId="168" xfId="0" applyFont="1" applyFill="1" applyBorder="1" applyAlignment="1" applyProtection="1">
      <alignment horizontal="left" vertical="center"/>
    </xf>
    <xf numFmtId="0" fontId="40" fillId="0" borderId="0" xfId="0" applyFont="1" applyFill="1" applyBorder="1" applyAlignment="1" applyProtection="1">
      <alignment vertical="center"/>
    </xf>
    <xf numFmtId="0" fontId="40" fillId="0" borderId="170" xfId="0" applyFont="1" applyFill="1" applyBorder="1" applyAlignment="1" applyProtection="1">
      <alignment vertical="center"/>
    </xf>
    <xf numFmtId="0" fontId="40" fillId="0" borderId="168"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4" fillId="0" borderId="0" xfId="0" applyFont="1" applyFill="1" applyBorder="1" applyAlignment="1" applyProtection="1">
      <alignment horizontal="right" vertical="center"/>
    </xf>
    <xf numFmtId="0" fontId="54" fillId="0" borderId="170" xfId="0" applyFont="1" applyFill="1" applyBorder="1" applyAlignment="1" applyProtection="1">
      <alignment horizontal="left" vertical="center"/>
    </xf>
    <xf numFmtId="0" fontId="61"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40" fillId="0" borderId="199" xfId="0" applyFont="1" applyFill="1" applyBorder="1" applyAlignment="1" applyProtection="1">
      <alignment horizontal="left" vertical="center" indent="1"/>
    </xf>
    <xf numFmtId="0" fontId="42" fillId="0" borderId="0" xfId="0" applyFont="1" applyFill="1" applyBorder="1" applyAlignment="1" applyProtection="1">
      <alignment vertical="center"/>
    </xf>
    <xf numFmtId="0" fontId="42" fillId="0" borderId="0" xfId="0" quotePrefix="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177" xfId="0" applyFont="1" applyFill="1" applyBorder="1" applyAlignment="1" applyProtection="1">
      <alignment vertical="center"/>
    </xf>
    <xf numFmtId="0" fontId="42" fillId="0" borderId="177" xfId="0" quotePrefix="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44" fillId="0" borderId="199" xfId="0" applyFont="1" applyFill="1" applyBorder="1" applyAlignment="1" applyProtection="1">
      <alignment vertical="center"/>
    </xf>
    <xf numFmtId="0" fontId="44" fillId="0" borderId="177"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center"/>
    </xf>
    <xf numFmtId="0" fontId="40" fillId="0" borderId="202" xfId="0" applyFont="1" applyFill="1" applyBorder="1" applyAlignment="1" applyProtection="1">
      <alignment horizontal="left" vertical="center" indent="1"/>
    </xf>
    <xf numFmtId="0" fontId="42" fillId="0" borderId="202" xfId="0" applyFont="1" applyFill="1" applyBorder="1" applyAlignment="1" applyProtection="1">
      <alignment vertical="center"/>
    </xf>
    <xf numFmtId="0" fontId="53" fillId="0" borderId="168" xfId="0" applyFont="1" applyFill="1" applyBorder="1" applyAlignment="1" applyProtection="1">
      <alignment vertical="center"/>
    </xf>
    <xf numFmtId="0" fontId="40" fillId="0" borderId="203" xfId="0" applyFont="1" applyFill="1" applyBorder="1" applyAlignment="1" applyProtection="1">
      <alignment horizontal="left" vertical="center" indent="1"/>
    </xf>
    <xf numFmtId="0" fontId="42" fillId="0" borderId="203" xfId="0" applyFont="1" applyFill="1" applyBorder="1" applyAlignment="1" applyProtection="1">
      <alignment vertical="center"/>
    </xf>
    <xf numFmtId="0" fontId="40" fillId="0" borderId="203" xfId="0" applyFont="1" applyFill="1" applyBorder="1" applyAlignment="1" applyProtection="1">
      <alignment vertical="center"/>
    </xf>
    <xf numFmtId="0" fontId="63" fillId="0" borderId="168" xfId="0" applyFont="1" applyFill="1" applyBorder="1" applyAlignment="1" applyProtection="1">
      <alignment vertical="center"/>
    </xf>
    <xf numFmtId="0" fontId="40" fillId="0" borderId="6" xfId="0" applyFont="1" applyFill="1" applyBorder="1" applyAlignment="1" applyProtection="1">
      <alignment horizontal="left" vertical="center" indent="1"/>
    </xf>
    <xf numFmtId="0" fontId="42" fillId="0" borderId="6" xfId="0" applyFont="1" applyFill="1" applyBorder="1" applyAlignment="1" applyProtection="1">
      <alignment vertical="center"/>
    </xf>
    <xf numFmtId="0" fontId="40" fillId="0" borderId="199" xfId="0" applyFont="1" applyFill="1" applyBorder="1" applyAlignment="1" applyProtection="1">
      <alignment horizontal="left" vertical="center"/>
    </xf>
    <xf numFmtId="0" fontId="42" fillId="0" borderId="199" xfId="0" applyFont="1" applyFill="1" applyBorder="1" applyAlignment="1" applyProtection="1">
      <alignment vertical="center"/>
    </xf>
    <xf numFmtId="0" fontId="40" fillId="0" borderId="6" xfId="0" applyFont="1" applyFill="1" applyBorder="1" applyAlignment="1" applyProtection="1">
      <alignment horizontal="left" vertical="center"/>
    </xf>
    <xf numFmtId="44" fontId="42" fillId="0" borderId="0" xfId="0" applyNumberFormat="1" applyFont="1" applyFill="1" applyBorder="1" applyAlignment="1" applyProtection="1">
      <alignment vertical="center"/>
    </xf>
    <xf numFmtId="0" fontId="42" fillId="0" borderId="177" xfId="0" applyFont="1" applyFill="1" applyBorder="1" applyAlignment="1" applyProtection="1">
      <alignment horizontal="left" vertical="center"/>
    </xf>
    <xf numFmtId="0" fontId="40" fillId="0" borderId="0" xfId="0" applyFont="1" applyFill="1" applyBorder="1" applyAlignment="1" applyProtection="1">
      <alignment horizontal="left" vertical="center" indent="1"/>
    </xf>
    <xf numFmtId="0" fontId="40" fillId="0" borderId="0" xfId="0" applyFont="1" applyFill="1" applyBorder="1" applyAlignment="1" applyProtection="1">
      <alignment horizontal="left" vertical="center"/>
    </xf>
    <xf numFmtId="0" fontId="18" fillId="7" borderId="0" xfId="0" applyFont="1" applyFill="1" applyBorder="1" applyAlignment="1" applyProtection="1">
      <alignment vertical="center"/>
    </xf>
    <xf numFmtId="0" fontId="42" fillId="0" borderId="0" xfId="0" applyFont="1" applyFill="1" applyBorder="1" applyAlignment="1" applyProtection="1">
      <alignment horizontal="left" vertical="center" indent="1"/>
    </xf>
    <xf numFmtId="0" fontId="42" fillId="0" borderId="0" xfId="0" applyFont="1" applyFill="1" applyBorder="1" applyAlignment="1" applyProtection="1">
      <alignment vertical="center" wrapText="1"/>
    </xf>
    <xf numFmtId="0" fontId="42" fillId="0" borderId="3" xfId="0" applyFont="1" applyFill="1" applyBorder="1" applyAlignment="1" applyProtection="1">
      <alignment vertical="center" wrapText="1"/>
    </xf>
    <xf numFmtId="0" fontId="40" fillId="0" borderId="155" xfId="0" applyFont="1" applyFill="1" applyBorder="1" applyAlignment="1" applyProtection="1">
      <alignment vertical="center"/>
    </xf>
    <xf numFmtId="0" fontId="40" fillId="20" borderId="2" xfId="0" applyFont="1" applyFill="1" applyBorder="1" applyProtection="1"/>
    <xf numFmtId="0" fontId="15" fillId="20" borderId="0" xfId="0" applyFont="1" applyFill="1" applyBorder="1" applyAlignment="1" applyProtection="1"/>
    <xf numFmtId="0" fontId="15" fillId="20" borderId="0" xfId="0" applyFont="1" applyFill="1" applyBorder="1" applyProtection="1"/>
    <xf numFmtId="0" fontId="15" fillId="20" borderId="3" xfId="0" applyFont="1" applyFill="1" applyBorder="1" applyProtection="1"/>
    <xf numFmtId="0" fontId="15" fillId="5" borderId="212" xfId="0" applyFont="1" applyFill="1" applyBorder="1" applyAlignment="1" applyProtection="1">
      <alignment horizontal="center" vertical="center" wrapText="1"/>
      <protection locked="0"/>
    </xf>
    <xf numFmtId="0" fontId="15" fillId="5" borderId="213" xfId="0" applyFont="1" applyFill="1" applyBorder="1" applyAlignment="1" applyProtection="1">
      <alignment horizontal="center" vertical="center" wrapText="1"/>
      <protection locked="0"/>
    </xf>
    <xf numFmtId="0" fontId="49" fillId="0" borderId="171" xfId="0" applyFont="1" applyFill="1" applyBorder="1" applyAlignment="1" applyProtection="1">
      <alignment horizontal="left" wrapText="1"/>
    </xf>
    <xf numFmtId="0" fontId="15" fillId="0" borderId="172" xfId="0" applyFont="1" applyFill="1" applyBorder="1" applyAlignment="1" applyProtection="1">
      <alignment wrapText="1"/>
    </xf>
    <xf numFmtId="0" fontId="15" fillId="0" borderId="214" xfId="0" applyFont="1" applyFill="1" applyBorder="1" applyAlignment="1" applyProtection="1">
      <alignment wrapText="1"/>
    </xf>
    <xf numFmtId="0" fontId="15" fillId="0" borderId="173" xfId="0" applyFont="1" applyBorder="1" applyAlignment="1" applyProtection="1">
      <alignment wrapText="1"/>
    </xf>
    <xf numFmtId="0" fontId="49" fillId="0" borderId="168" xfId="0" applyFont="1" applyFill="1" applyBorder="1" applyAlignment="1" applyProtection="1">
      <alignment horizontal="left" wrapText="1"/>
    </xf>
    <xf numFmtId="0" fontId="15" fillId="0" borderId="170" xfId="0" applyFont="1" applyBorder="1" applyAlignment="1" applyProtection="1">
      <alignment wrapText="1"/>
    </xf>
    <xf numFmtId="0" fontId="40" fillId="0" borderId="168" xfId="0" applyFont="1" applyFill="1" applyBorder="1" applyAlignment="1" applyProtection="1">
      <alignment horizontal="left" wrapText="1"/>
    </xf>
    <xf numFmtId="0" fontId="40" fillId="0" borderId="0" xfId="0" applyFont="1" applyAlignment="1" applyProtection="1">
      <alignment wrapText="1"/>
    </xf>
    <xf numFmtId="0" fontId="40" fillId="0" borderId="170" xfId="0" applyFont="1" applyBorder="1" applyAlignment="1" applyProtection="1">
      <alignment wrapText="1"/>
    </xf>
    <xf numFmtId="0" fontId="40" fillId="0" borderId="0" xfId="0" applyFont="1" applyFill="1" applyBorder="1" applyAlignment="1" applyProtection="1">
      <alignment wrapText="1"/>
    </xf>
    <xf numFmtId="0" fontId="17" fillId="0" borderId="0" xfId="0" applyFont="1" applyFill="1" applyBorder="1" applyAlignment="1" applyProtection="1"/>
    <xf numFmtId="0" fontId="17" fillId="0" borderId="0" xfId="0" applyFont="1" applyFill="1" applyBorder="1" applyAlignment="1" applyProtection="1">
      <alignment wrapText="1"/>
    </xf>
    <xf numFmtId="0" fontId="15" fillId="0" borderId="168" xfId="0" applyFont="1" applyFill="1" applyBorder="1" applyAlignment="1" applyProtection="1">
      <alignment wrapText="1"/>
    </xf>
    <xf numFmtId="0" fontId="42" fillId="16" borderId="176" xfId="0" applyFont="1" applyFill="1" applyBorder="1" applyAlignment="1" applyProtection="1">
      <alignment horizontal="center" vertical="center" wrapText="1"/>
    </xf>
    <xf numFmtId="0" fontId="42" fillId="16" borderId="148" xfId="0" applyFont="1" applyFill="1" applyBorder="1" applyAlignment="1" applyProtection="1">
      <alignment horizontal="center" vertical="center" wrapText="1"/>
    </xf>
    <xf numFmtId="0" fontId="42" fillId="16" borderId="149" xfId="0" applyFont="1" applyFill="1" applyBorder="1" applyAlignment="1" applyProtection="1">
      <alignment horizontal="center" vertical="center" wrapText="1"/>
    </xf>
    <xf numFmtId="0" fontId="66" fillId="0" borderId="168" xfId="0" applyFont="1" applyFill="1" applyBorder="1" applyAlignment="1" applyProtection="1">
      <alignment wrapText="1"/>
    </xf>
    <xf numFmtId="0" fontId="52" fillId="0" borderId="168" xfId="0" applyFont="1" applyFill="1" applyBorder="1" applyAlignment="1" applyProtection="1">
      <alignment wrapText="1"/>
    </xf>
    <xf numFmtId="0" fontId="15" fillId="0" borderId="169" xfId="0" applyFont="1" applyFill="1" applyBorder="1" applyAlignment="1" applyProtection="1">
      <alignment wrapText="1"/>
    </xf>
    <xf numFmtId="0" fontId="19" fillId="0" borderId="174" xfId="0" applyFont="1" applyBorder="1" applyAlignment="1" applyProtection="1">
      <alignment wrapText="1"/>
    </xf>
    <xf numFmtId="0" fontId="15" fillId="0" borderId="175" xfId="0" applyFont="1" applyBorder="1" applyAlignment="1" applyProtection="1">
      <alignment wrapText="1"/>
    </xf>
    <xf numFmtId="0" fontId="17" fillId="0" borderId="228" xfId="0" applyFont="1" applyFill="1" applyBorder="1" applyAlignment="1" applyProtection="1"/>
    <xf numFmtId="0" fontId="15" fillId="0" borderId="172" xfId="0" applyFont="1" applyFill="1" applyBorder="1" applyAlignment="1" applyProtection="1"/>
    <xf numFmtId="0" fontId="67" fillId="0" borderId="170" xfId="0" applyFont="1" applyFill="1" applyBorder="1" applyAlignment="1" applyProtection="1">
      <alignment horizontal="left" vertical="center" wrapText="1"/>
    </xf>
    <xf numFmtId="0" fontId="19" fillId="0" borderId="0" xfId="0" applyFont="1" applyBorder="1" applyAlignment="1" applyProtection="1"/>
    <xf numFmtId="0" fontId="19" fillId="0" borderId="174" xfId="0" applyFont="1" applyBorder="1" applyAlignment="1" applyProtection="1"/>
    <xf numFmtId="0" fontId="17" fillId="0" borderId="6" xfId="0" applyFont="1" applyFill="1" applyBorder="1" applyAlignment="1" applyProtection="1"/>
    <xf numFmtId="0" fontId="43" fillId="6" borderId="54" xfId="0" applyFont="1" applyFill="1" applyBorder="1" applyAlignment="1" applyProtection="1">
      <alignment vertical="center"/>
    </xf>
    <xf numFmtId="0" fontId="43" fillId="6" borderId="52" xfId="0" applyFont="1" applyFill="1" applyBorder="1" applyAlignment="1" applyProtection="1">
      <alignment vertical="center"/>
    </xf>
    <xf numFmtId="0" fontId="43" fillId="6" borderId="55" xfId="0" applyFont="1" applyFill="1" applyBorder="1" applyAlignment="1" applyProtection="1">
      <alignment vertical="center"/>
    </xf>
    <xf numFmtId="0" fontId="42" fillId="16" borderId="163" xfId="0" applyFont="1" applyFill="1" applyBorder="1" applyAlignment="1" applyProtection="1">
      <alignment vertical="center"/>
    </xf>
    <xf numFmtId="0" fontId="19" fillId="0" borderId="0" xfId="0" applyFont="1" applyBorder="1" applyAlignment="1" applyProtection="1">
      <alignment wrapText="1"/>
    </xf>
    <xf numFmtId="0" fontId="15" fillId="0" borderId="171" xfId="0" applyFont="1" applyFill="1" applyBorder="1" applyAlignment="1" applyProtection="1">
      <alignment horizontal="left" wrapText="1"/>
    </xf>
    <xf numFmtId="0" fontId="15" fillId="0" borderId="168" xfId="0" applyFont="1" applyFill="1" applyBorder="1" applyAlignment="1" applyProtection="1">
      <alignment horizontal="left" wrapText="1"/>
    </xf>
    <xf numFmtId="0" fontId="67" fillId="0" borderId="0" xfId="0" applyFont="1" applyBorder="1" applyAlignment="1" applyProtection="1">
      <alignment horizontal="left" vertical="center" wrapText="1"/>
    </xf>
    <xf numFmtId="0" fontId="0" fillId="0" borderId="78" xfId="0" applyBorder="1"/>
    <xf numFmtId="1" fontId="5" fillId="2" borderId="230" xfId="0" applyNumberFormat="1" applyFont="1" applyFill="1" applyBorder="1" applyAlignment="1" applyProtection="1">
      <alignment vertical="center"/>
    </xf>
    <xf numFmtId="0" fontId="15" fillId="0" borderId="2" xfId="0" applyFont="1" applyFill="1" applyBorder="1" applyAlignment="1" applyProtection="1">
      <alignment wrapText="1"/>
    </xf>
    <xf numFmtId="0" fontId="15" fillId="0" borderId="2" xfId="0" applyFont="1" applyFill="1" applyBorder="1" applyProtection="1"/>
    <xf numFmtId="0" fontId="15" fillId="0" borderId="2" xfId="0" applyFont="1" applyFill="1" applyBorder="1" applyAlignment="1" applyProtection="1"/>
    <xf numFmtId="0" fontId="15" fillId="0" borderId="12" xfId="0" applyFont="1" applyFill="1" applyBorder="1" applyProtection="1"/>
    <xf numFmtId="0" fontId="15" fillId="0" borderId="29" xfId="0" applyFont="1" applyFill="1" applyBorder="1" applyAlignment="1" applyProtection="1">
      <alignment horizontal="left"/>
      <protection locked="0"/>
    </xf>
    <xf numFmtId="0" fontId="58" fillId="0" borderId="155" xfId="0" applyFont="1" applyFill="1" applyBorder="1" applyAlignment="1" applyProtection="1"/>
    <xf numFmtId="0" fontId="15" fillId="0" borderId="77" xfId="0" applyFont="1" applyFill="1" applyBorder="1" applyProtection="1"/>
    <xf numFmtId="0" fontId="15" fillId="0" borderId="14" xfId="0" applyFont="1" applyFill="1" applyBorder="1" applyProtection="1"/>
    <xf numFmtId="0" fontId="15" fillId="0" borderId="93" xfId="0" applyFont="1" applyFill="1" applyBorder="1" applyProtection="1"/>
    <xf numFmtId="0" fontId="19" fillId="0" borderId="0" xfId="0" applyFont="1" applyFill="1" applyBorder="1" applyProtection="1"/>
    <xf numFmtId="0" fontId="40" fillId="0" borderId="2" xfId="0" applyFont="1" applyFill="1" applyBorder="1" applyProtection="1"/>
    <xf numFmtId="9" fontId="24" fillId="6" borderId="53" xfId="0" applyNumberFormat="1" applyFont="1" applyFill="1" applyBorder="1" applyAlignment="1" applyProtection="1">
      <alignment vertical="center"/>
    </xf>
    <xf numFmtId="9" fontId="22" fillId="17" borderId="120" xfId="0" applyNumberFormat="1" applyFont="1" applyFill="1" applyBorder="1" applyAlignment="1" applyProtection="1">
      <alignment vertical="center"/>
    </xf>
    <xf numFmtId="0" fontId="50" fillId="0" borderId="0" xfId="0" applyFont="1" applyFill="1" applyBorder="1" applyAlignment="1" applyProtection="1">
      <alignment horizontal="right" vertical="center"/>
    </xf>
    <xf numFmtId="0" fontId="29" fillId="0" borderId="0" xfId="0" applyFont="1" applyFill="1" applyBorder="1" applyAlignment="1" applyProtection="1"/>
    <xf numFmtId="0" fontId="29" fillId="0" borderId="0" xfId="0" applyFont="1" applyFill="1" applyBorder="1" applyProtection="1"/>
    <xf numFmtId="0" fontId="3" fillId="0" borderId="0" xfId="0" applyFont="1"/>
    <xf numFmtId="42" fontId="22" fillId="0" borderId="201" xfId="0" applyNumberFormat="1" applyFont="1" applyFill="1" applyBorder="1" applyAlignment="1" applyProtection="1">
      <alignment vertical="center"/>
    </xf>
    <xf numFmtId="0" fontId="15" fillId="0" borderId="228" xfId="0" applyFont="1" applyFill="1" applyBorder="1" applyProtection="1"/>
    <xf numFmtId="0" fontId="15" fillId="0" borderId="229" xfId="0" applyFont="1" applyFill="1" applyBorder="1" applyProtection="1"/>
    <xf numFmtId="0" fontId="53" fillId="0" borderId="29" xfId="0" applyFont="1" applyBorder="1" applyProtection="1"/>
    <xf numFmtId="166" fontId="42" fillId="6" borderId="236" xfId="0" applyNumberFormat="1" applyFont="1" applyFill="1" applyBorder="1" applyAlignment="1" applyProtection="1">
      <alignment horizontal="center" wrapText="1"/>
    </xf>
    <xf numFmtId="166" fontId="42" fillId="6" borderId="237" xfId="0" applyNumberFormat="1" applyFont="1" applyFill="1" applyBorder="1" applyAlignment="1" applyProtection="1">
      <alignment horizontal="center" wrapText="1"/>
    </xf>
    <xf numFmtId="0" fontId="15" fillId="0" borderId="95" xfId="0" applyFont="1" applyBorder="1" applyProtection="1"/>
    <xf numFmtId="0" fontId="15" fillId="0" borderId="96" xfId="0" applyFont="1" applyBorder="1" applyProtection="1"/>
    <xf numFmtId="0" fontId="15" fillId="0" borderId="98" xfId="0" applyFont="1" applyBorder="1" applyProtection="1"/>
    <xf numFmtId="0" fontId="15" fillId="0" borderId="0" xfId="0" applyFont="1" applyFill="1" applyBorder="1" applyAlignment="1" applyProtection="1">
      <alignment horizontal="left"/>
    </xf>
    <xf numFmtId="0" fontId="16" fillId="0" borderId="0" xfId="0" applyFont="1" applyBorder="1" applyAlignment="1" applyProtection="1"/>
    <xf numFmtId="0" fontId="15" fillId="0" borderId="0" xfId="0" applyFont="1" applyBorder="1" applyAlignment="1" applyProtection="1">
      <alignment horizontal="left" indent="1"/>
    </xf>
    <xf numFmtId="0" fontId="15" fillId="0" borderId="0" xfId="0" applyFont="1" applyBorder="1" applyAlignment="1" applyProtection="1"/>
    <xf numFmtId="0" fontId="15" fillId="0" borderId="0" xfId="0" applyFont="1" applyFill="1" applyBorder="1" applyAlignment="1" applyProtection="1">
      <alignment horizontal="right"/>
    </xf>
    <xf numFmtId="0" fontId="15" fillId="0" borderId="6" xfId="0" applyFont="1" applyFill="1" applyBorder="1" applyProtection="1"/>
    <xf numFmtId="0" fontId="15" fillId="0" borderId="19" xfId="0" applyFont="1" applyFill="1" applyBorder="1" applyAlignment="1" applyProtection="1">
      <alignment horizontal="left"/>
    </xf>
    <xf numFmtId="0" fontId="0" fillId="0" borderId="0" xfId="0" applyProtection="1"/>
    <xf numFmtId="0" fontId="15" fillId="0" borderId="0" xfId="0" applyFont="1" applyFill="1" applyBorder="1" applyAlignment="1" applyProtection="1">
      <alignment horizontal="center" vertical="center"/>
    </xf>
    <xf numFmtId="0" fontId="16" fillId="0" borderId="63" xfId="0" applyFont="1" applyBorder="1" applyAlignment="1" applyProtection="1"/>
    <xf numFmtId="0" fontId="19" fillId="0" borderId="63" xfId="0" applyFont="1" applyFill="1" applyBorder="1" applyAlignment="1" applyProtection="1"/>
    <xf numFmtId="0" fontId="19" fillId="0" borderId="0" xfId="0" applyFont="1" applyBorder="1" applyAlignment="1" applyProtection="1">
      <alignment horizontal="left" indent="1"/>
    </xf>
    <xf numFmtId="0" fontId="15" fillId="0" borderId="0" xfId="0" applyFont="1" applyFill="1" applyBorder="1" applyAlignment="1" applyProtection="1">
      <alignment horizontal="left" indent="1"/>
    </xf>
    <xf numFmtId="0" fontId="0" fillId="0" borderId="0" xfId="0" applyFont="1" applyFill="1" applyProtection="1"/>
    <xf numFmtId="0" fontId="15" fillId="0" borderId="0" xfId="0" applyFont="1" applyFill="1" applyBorder="1" applyAlignment="1" applyProtection="1">
      <alignment vertical="center"/>
    </xf>
    <xf numFmtId="0" fontId="15" fillId="0" borderId="52" xfId="0" applyFont="1" applyFill="1" applyBorder="1" applyAlignment="1" applyProtection="1">
      <alignment vertical="center"/>
    </xf>
    <xf numFmtId="0" fontId="15" fillId="0" borderId="25"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vertical="top" wrapText="1"/>
    </xf>
    <xf numFmtId="0" fontId="15" fillId="0" borderId="0" xfId="0" applyFont="1" applyFill="1" applyBorder="1" applyAlignment="1" applyProtection="1">
      <alignment horizontal="left" vertical="top"/>
    </xf>
    <xf numFmtId="0" fontId="15" fillId="0" borderId="0" xfId="0" applyFont="1" applyBorder="1" applyAlignment="1" applyProtection="1">
      <alignment horizontal="left" vertical="top"/>
    </xf>
    <xf numFmtId="0" fontId="14" fillId="0" borderId="0" xfId="0" applyFont="1" applyFill="1" applyProtection="1"/>
    <xf numFmtId="0" fontId="50" fillId="0" borderId="2" xfId="0" applyFont="1" applyFill="1" applyBorder="1" applyAlignment="1" applyProtection="1">
      <alignment horizontal="center" vertical="top"/>
    </xf>
    <xf numFmtId="0" fontId="47" fillId="0" borderId="0" xfId="0" applyFont="1" applyFill="1" applyBorder="1" applyAlignment="1" applyProtection="1">
      <alignment vertical="top" wrapText="1"/>
    </xf>
    <xf numFmtId="0" fontId="45" fillId="0" borderId="0" xfId="0" applyFont="1" applyBorder="1" applyProtection="1"/>
    <xf numFmtId="0" fontId="15" fillId="0" borderId="0" xfId="0" applyFont="1" applyBorder="1" applyAlignment="1" applyProtection="1">
      <alignment horizontal="righ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5" fillId="0" borderId="53" xfId="0" applyFont="1" applyFill="1" applyBorder="1" applyProtection="1">
      <protection locked="0"/>
    </xf>
    <xf numFmtId="0" fontId="15"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5" fillId="0" borderId="97" xfId="0" applyFont="1" applyBorder="1" applyProtection="1"/>
    <xf numFmtId="0" fontId="15" fillId="0" borderId="99"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19" fillId="16" borderId="73" xfId="0" applyFont="1" applyFill="1" applyBorder="1" applyAlignment="1" applyProtection="1">
      <alignment vertical="center"/>
    </xf>
    <xf numFmtId="0" fontId="3" fillId="0" borderId="36" xfId="0" applyFont="1" applyBorder="1" applyAlignment="1" applyProtection="1">
      <alignment vertical="center"/>
    </xf>
    <xf numFmtId="0" fontId="15"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6" fillId="16" borderId="217" xfId="0" applyFont="1" applyFill="1" applyBorder="1" applyAlignment="1" applyProtection="1">
      <alignment vertical="center"/>
    </xf>
    <xf numFmtId="0" fontId="5" fillId="16" borderId="12" xfId="0" applyFont="1" applyFill="1" applyBorder="1" applyAlignment="1" applyProtection="1"/>
    <xf numFmtId="0" fontId="5" fillId="16" borderId="231" xfId="0" applyFont="1" applyFill="1" applyBorder="1" applyAlignment="1" applyProtection="1"/>
    <xf numFmtId="0" fontId="5" fillId="0" borderId="0" xfId="0" applyFont="1" applyFill="1" applyBorder="1" applyAlignment="1" applyProtection="1"/>
    <xf numFmtId="44" fontId="21"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7" fillId="0" borderId="0" xfId="0" applyFont="1" applyFill="1" applyBorder="1" applyAlignment="1" applyProtection="1">
      <alignment horizontal="left" vertical="center"/>
    </xf>
    <xf numFmtId="0" fontId="24" fillId="0" borderId="95" xfId="0" applyFont="1" applyFill="1" applyBorder="1" applyProtection="1"/>
    <xf numFmtId="0" fontId="24" fillId="0" borderId="96" xfId="0" applyFont="1" applyFill="1" applyBorder="1" applyProtection="1"/>
    <xf numFmtId="0" fontId="24" fillId="0" borderId="98" xfId="0" applyFont="1" applyFill="1" applyBorder="1" applyProtection="1"/>
    <xf numFmtId="0" fontId="24" fillId="0" borderId="98" xfId="0" applyFont="1" applyBorder="1" applyProtection="1"/>
    <xf numFmtId="0" fontId="3" fillId="0" borderId="0" xfId="0" applyFont="1" applyProtection="1"/>
    <xf numFmtId="0" fontId="24" fillId="0" borderId="99" xfId="0" applyFont="1" applyFill="1" applyBorder="1" applyProtection="1"/>
    <xf numFmtId="0" fontId="24" fillId="15" borderId="51" xfId="0" applyFont="1" applyFill="1" applyBorder="1" applyProtection="1"/>
    <xf numFmtId="5" fontId="26" fillId="16" borderId="54" xfId="0" applyNumberFormat="1" applyFont="1" applyFill="1" applyBorder="1" applyAlignment="1" applyProtection="1">
      <alignment vertical="center" wrapText="1"/>
    </xf>
    <xf numFmtId="0" fontId="24" fillId="15" borderId="0" xfId="0" applyFont="1" applyFill="1" applyBorder="1" applyProtection="1"/>
    <xf numFmtId="5" fontId="26" fillId="16" borderId="64" xfId="0" applyNumberFormat="1" applyFont="1" applyFill="1" applyBorder="1" applyAlignment="1" applyProtection="1">
      <alignment vertical="center" wrapText="1"/>
    </xf>
    <xf numFmtId="0" fontId="24" fillId="15" borderId="13" xfId="0" applyFont="1" applyFill="1" applyBorder="1" applyProtection="1"/>
    <xf numFmtId="5" fontId="26" fillId="0" borderId="0" xfId="0" applyNumberFormat="1" applyFont="1" applyFill="1" applyBorder="1" applyAlignment="1" applyProtection="1">
      <alignment horizontal="center" vertical="center" wrapText="1"/>
    </xf>
    <xf numFmtId="42" fontId="22" fillId="15" borderId="51" xfId="0" applyNumberFormat="1" applyFont="1" applyFill="1" applyBorder="1" applyProtection="1"/>
    <xf numFmtId="42" fontId="22" fillId="15" borderId="0" xfId="0" applyNumberFormat="1" applyFont="1" applyFill="1" applyBorder="1" applyProtection="1"/>
    <xf numFmtId="42" fontId="22" fillId="15" borderId="72" xfId="0" applyNumberFormat="1" applyFont="1" applyFill="1" applyBorder="1" applyProtection="1"/>
    <xf numFmtId="42" fontId="22" fillId="12" borderId="58" xfId="0" applyNumberFormat="1" applyFont="1" applyFill="1" applyBorder="1" applyAlignment="1" applyProtection="1">
      <alignment vertical="center"/>
    </xf>
    <xf numFmtId="0" fontId="3" fillId="0" borderId="51" xfId="0" applyFont="1" applyBorder="1" applyProtection="1"/>
    <xf numFmtId="0" fontId="24" fillId="0" borderId="92" xfId="0" applyFont="1" applyFill="1" applyBorder="1" applyProtection="1"/>
    <xf numFmtId="0" fontId="3" fillId="0" borderId="140" xfId="0" applyFont="1" applyBorder="1" applyProtection="1"/>
    <xf numFmtId="0" fontId="24" fillId="0" borderId="140" xfId="0" applyFont="1" applyBorder="1" applyProtection="1"/>
    <xf numFmtId="42" fontId="34" fillId="0" borderId="140" xfId="0" applyNumberFormat="1" applyFont="1" applyFill="1" applyBorder="1" applyAlignment="1" applyProtection="1">
      <alignment horizontal="center" vertical="center"/>
    </xf>
    <xf numFmtId="42" fontId="22" fillId="15" borderId="140" xfId="0" applyNumberFormat="1" applyFont="1" applyFill="1" applyBorder="1" applyProtection="1"/>
    <xf numFmtId="0" fontId="3" fillId="0" borderId="201" xfId="0" applyFont="1" applyBorder="1" applyProtection="1"/>
    <xf numFmtId="0" fontId="24" fillId="0" borderId="201" xfId="0" applyFont="1" applyBorder="1" applyProtection="1"/>
    <xf numFmtId="42" fontId="34" fillId="0" borderId="201" xfId="0" applyNumberFormat="1" applyFont="1" applyFill="1" applyBorder="1" applyAlignment="1" applyProtection="1">
      <alignment horizontal="center" vertical="center"/>
    </xf>
    <xf numFmtId="42" fontId="22" fillId="15" borderId="201" xfId="0" applyNumberFormat="1" applyFont="1" applyFill="1" applyBorder="1" applyProtection="1"/>
    <xf numFmtId="42" fontId="15" fillId="0" borderId="13" xfId="0" applyNumberFormat="1" applyFont="1" applyFill="1" applyBorder="1" applyProtection="1"/>
    <xf numFmtId="0" fontId="24" fillId="0" borderId="93" xfId="0" applyFont="1" applyBorder="1" applyProtection="1"/>
    <xf numFmtId="42" fontId="22" fillId="15" borderId="93" xfId="0" applyNumberFormat="1" applyFont="1" applyFill="1" applyBorder="1" applyProtection="1"/>
    <xf numFmtId="42" fontId="22" fillId="11" borderId="127" xfId="0" applyNumberFormat="1" applyFont="1" applyFill="1" applyBorder="1" applyAlignment="1" applyProtection="1">
      <alignment vertical="center"/>
    </xf>
    <xf numFmtId="42" fontId="22" fillId="11" borderId="142" xfId="0" applyNumberFormat="1" applyFont="1" applyFill="1" applyBorder="1" applyAlignment="1" applyProtection="1">
      <alignment vertical="center"/>
    </xf>
    <xf numFmtId="42" fontId="22" fillId="15" borderId="13" xfId="0" applyNumberFormat="1" applyFont="1" applyFill="1" applyBorder="1" applyProtection="1"/>
    <xf numFmtId="42" fontId="22" fillId="0" borderId="0" xfId="0" applyNumberFormat="1" applyFont="1" applyFill="1" applyBorder="1" applyProtection="1"/>
    <xf numFmtId="0" fontId="24" fillId="0" borderId="93" xfId="0" applyFont="1" applyFill="1" applyBorder="1" applyProtection="1"/>
    <xf numFmtId="166" fontId="36"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1" fillId="0" borderId="30" xfId="0" applyFont="1" applyBorder="1" applyProtection="1"/>
    <xf numFmtId="0" fontId="11" fillId="0" borderId="31" xfId="0" applyFont="1" applyBorder="1" applyProtection="1"/>
    <xf numFmtId="0" fontId="11" fillId="0" borderId="32" xfId="0" applyFont="1" applyBorder="1" applyProtection="1"/>
    <xf numFmtId="0" fontId="11" fillId="0" borderId="33" xfId="0" applyFont="1" applyBorder="1" applyProtection="1"/>
    <xf numFmtId="0" fontId="11" fillId="0" borderId="34" xfId="0" applyFont="1" applyBorder="1" applyProtection="1"/>
    <xf numFmtId="0" fontId="11" fillId="0" borderId="0" xfId="0" applyFont="1" applyBorder="1" applyProtection="1"/>
    <xf numFmtId="0" fontId="14" fillId="0" borderId="0" xfId="0" applyFont="1" applyBorder="1" applyAlignment="1" applyProtection="1"/>
    <xf numFmtId="0" fontId="14" fillId="0" borderId="0" xfId="0" applyFont="1" applyFill="1" applyBorder="1" applyAlignment="1" applyProtection="1"/>
    <xf numFmtId="0" fontId="11" fillId="0" borderId="33" xfId="0" applyFont="1" applyFill="1" applyBorder="1" applyProtection="1"/>
    <xf numFmtId="0" fontId="11" fillId="0" borderId="0" xfId="0" applyFont="1" applyFill="1" applyBorder="1" applyProtection="1"/>
    <xf numFmtId="0" fontId="11" fillId="0" borderId="0" xfId="0" applyFont="1" applyProtection="1"/>
    <xf numFmtId="0" fontId="11" fillId="0" borderId="35" xfId="0" applyFont="1" applyFill="1" applyBorder="1" applyProtection="1"/>
    <xf numFmtId="0" fontId="11" fillId="0" borderId="36" xfId="0" applyFont="1" applyBorder="1" applyProtection="1"/>
    <xf numFmtId="0" fontId="11" fillId="0" borderId="37" xfId="0" applyFont="1" applyBorder="1" applyProtection="1"/>
    <xf numFmtId="0" fontId="11" fillId="0" borderId="34" xfId="0" applyFont="1" applyBorder="1" applyAlignment="1" applyProtection="1"/>
    <xf numFmtId="0" fontId="11" fillId="0" borderId="34" xfId="0" applyFont="1" applyFill="1" applyBorder="1" applyProtection="1"/>
    <xf numFmtId="0" fontId="11" fillId="0" borderId="0" xfId="0" applyFont="1" applyFill="1" applyProtection="1"/>
    <xf numFmtId="5" fontId="8"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4" fillId="0" borderId="3" xfId="0" applyNumberFormat="1" applyFont="1" applyFill="1" applyBorder="1" applyAlignment="1" applyProtection="1"/>
    <xf numFmtId="3" fontId="30"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2" fillId="0" borderId="39" xfId="0" applyFont="1" applyBorder="1" applyProtection="1"/>
    <xf numFmtId="0" fontId="52" fillId="0" borderId="40" xfId="0" applyFont="1" applyBorder="1" applyProtection="1"/>
    <xf numFmtId="0" fontId="52" fillId="0" borderId="40" xfId="0" applyFont="1" applyFill="1" applyBorder="1" applyAlignment="1" applyProtection="1">
      <alignment wrapText="1"/>
    </xf>
    <xf numFmtId="0" fontId="52" fillId="0" borderId="41" xfId="0" applyFont="1" applyFill="1" applyBorder="1" applyAlignment="1" applyProtection="1">
      <alignment wrapText="1"/>
    </xf>
    <xf numFmtId="0" fontId="52" fillId="0" borderId="42" xfId="0" applyFont="1" applyBorder="1" applyProtection="1"/>
    <xf numFmtId="0" fontId="52" fillId="0" borderId="43" xfId="0" applyFont="1" applyFill="1" applyBorder="1" applyAlignment="1" applyProtection="1">
      <alignment wrapText="1"/>
    </xf>
    <xf numFmtId="0" fontId="52" fillId="0" borderId="0" xfId="0" applyFont="1" applyBorder="1" applyProtection="1"/>
    <xf numFmtId="0" fontId="52" fillId="0" borderId="0" xfId="0" applyFont="1" applyFill="1" applyBorder="1" applyAlignment="1" applyProtection="1">
      <alignment wrapText="1"/>
    </xf>
    <xf numFmtId="0" fontId="14" fillId="0" borderId="43" xfId="0" applyFont="1" applyBorder="1" applyAlignment="1" applyProtection="1"/>
    <xf numFmtId="0" fontId="53" fillId="0" borderId="43" xfId="0" applyFont="1" applyBorder="1" applyProtection="1"/>
    <xf numFmtId="0" fontId="0" fillId="0" borderId="0" xfId="0" applyFont="1" applyProtection="1"/>
    <xf numFmtId="0" fontId="52" fillId="0" borderId="13" xfId="0" applyFont="1" applyBorder="1" applyProtection="1"/>
    <xf numFmtId="0" fontId="0" fillId="0" borderId="29" xfId="0" applyFont="1" applyBorder="1" applyProtection="1"/>
    <xf numFmtId="0" fontId="0" fillId="0" borderId="6" xfId="0" applyFont="1" applyBorder="1" applyProtection="1"/>
    <xf numFmtId="0" fontId="52" fillId="0" borderId="44" xfId="0" applyFont="1" applyBorder="1" applyProtection="1"/>
    <xf numFmtId="0" fontId="52" fillId="0" borderId="45" xfId="0" applyFont="1" applyBorder="1" applyProtection="1"/>
    <xf numFmtId="0" fontId="53"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7" fillId="0" borderId="0" xfId="0" applyFont="1" applyFill="1" applyBorder="1" applyProtection="1"/>
    <xf numFmtId="0" fontId="29"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6"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1" fillId="16" borderId="145" xfId="0" applyFont="1" applyFill="1" applyBorder="1" applyProtection="1"/>
    <xf numFmtId="0" fontId="24"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44" fontId="3" fillId="6" borderId="151" xfId="0" applyNumberFormat="1" applyFont="1" applyFill="1" applyBorder="1" applyProtection="1"/>
    <xf numFmtId="0" fontId="3" fillId="0" borderId="92" xfId="0" applyFont="1" applyFill="1" applyBorder="1" applyProtection="1"/>
    <xf numFmtId="0" fontId="3" fillId="0" borderId="93" xfId="0" applyFont="1" applyFill="1" applyBorder="1" applyProtection="1"/>
    <xf numFmtId="0" fontId="21" fillId="0" borderId="93" xfId="0" applyFont="1" applyFill="1" applyBorder="1" applyProtection="1"/>
    <xf numFmtId="0" fontId="48" fillId="0" borderId="0" xfId="0" applyFont="1" applyFill="1" applyProtection="1">
      <protection locked="0"/>
    </xf>
    <xf numFmtId="0" fontId="15" fillId="0" borderId="30" xfId="0" applyFont="1" applyFill="1" applyBorder="1" applyAlignment="1" applyProtection="1"/>
    <xf numFmtId="0" fontId="15" fillId="0" borderId="31" xfId="0" applyFont="1" applyFill="1" applyBorder="1" applyAlignment="1" applyProtection="1"/>
    <xf numFmtId="0" fontId="15" fillId="0" borderId="31" xfId="0" applyFont="1" applyFill="1" applyBorder="1" applyAlignment="1" applyProtection="1">
      <alignment horizontal="left"/>
    </xf>
    <xf numFmtId="0" fontId="15" fillId="0" borderId="32" xfId="0" applyFont="1" applyFill="1" applyBorder="1" applyAlignment="1" applyProtection="1"/>
    <xf numFmtId="0" fontId="15" fillId="0" borderId="33" xfId="0" applyFont="1" applyFill="1" applyBorder="1" applyAlignment="1" applyProtection="1"/>
    <xf numFmtId="0" fontId="15" fillId="0" borderId="34" xfId="0" applyFont="1" applyFill="1" applyBorder="1" applyAlignment="1" applyProtection="1"/>
    <xf numFmtId="0" fontId="14" fillId="0" borderId="34" xfId="0" applyFont="1" applyFill="1" applyBorder="1" applyAlignment="1" applyProtection="1"/>
    <xf numFmtId="0" fontId="19" fillId="0" borderId="33" xfId="0" applyFont="1" applyFill="1" applyBorder="1" applyAlignment="1" applyProtection="1">
      <alignment horizontal="center"/>
    </xf>
    <xf numFmtId="0" fontId="19" fillId="16" borderId="148" xfId="0" applyFont="1" applyFill="1" applyBorder="1" applyAlignment="1" applyProtection="1"/>
    <xf numFmtId="0" fontId="19" fillId="16" borderId="148" xfId="0" applyFont="1" applyFill="1" applyBorder="1" applyAlignment="1" applyProtection="1">
      <alignment horizontal="center" wrapText="1"/>
    </xf>
    <xf numFmtId="0" fontId="42" fillId="16" borderId="148" xfId="0" applyFont="1" applyFill="1" applyBorder="1" applyAlignment="1" applyProtection="1">
      <alignment horizontal="center" wrapText="1"/>
    </xf>
    <xf numFmtId="0" fontId="42" fillId="0" borderId="0" xfId="0" applyFont="1" applyFill="1" applyBorder="1" applyAlignment="1" applyProtection="1">
      <alignment horizontal="center"/>
    </xf>
    <xf numFmtId="0" fontId="42" fillId="0" borderId="34" xfId="0" applyFont="1" applyFill="1" applyBorder="1" applyAlignment="1" applyProtection="1">
      <alignment horizontal="center"/>
    </xf>
    <xf numFmtId="44" fontId="15" fillId="6" borderId="12" xfId="0" applyNumberFormat="1" applyFont="1" applyFill="1" applyBorder="1" applyAlignment="1" applyProtection="1"/>
    <xf numFmtId="44" fontId="15" fillId="6" borderId="227" xfId="0" applyNumberFormat="1" applyFont="1" applyFill="1" applyBorder="1" applyAlignment="1" applyProtection="1"/>
    <xf numFmtId="0" fontId="15" fillId="0" borderId="0" xfId="0" applyFont="1" applyFill="1" applyProtection="1"/>
    <xf numFmtId="0" fontId="19" fillId="0" borderId="0" xfId="0" applyFont="1" applyFill="1" applyBorder="1" applyAlignment="1" applyProtection="1"/>
    <xf numFmtId="166" fontId="15" fillId="0" borderId="154" xfId="0" applyNumberFormat="1" applyFont="1" applyFill="1" applyBorder="1" applyAlignment="1" applyProtection="1">
      <alignment horizontal="left"/>
    </xf>
    <xf numFmtId="166" fontId="15" fillId="0" borderId="51" xfId="0" applyNumberFormat="1" applyFont="1" applyFill="1" applyBorder="1" applyAlignment="1" applyProtection="1"/>
    <xf numFmtId="0" fontId="42" fillId="0" borderId="34" xfId="0" applyFont="1" applyFill="1" applyBorder="1" applyAlignment="1" applyProtection="1"/>
    <xf numFmtId="166" fontId="15" fillId="0" borderId="0" xfId="0" applyNumberFormat="1" applyFont="1" applyFill="1" applyBorder="1" applyAlignment="1" applyProtection="1"/>
    <xf numFmtId="5" fontId="15" fillId="0" borderId="0" xfId="0" applyNumberFormat="1" applyFont="1" applyFill="1" applyBorder="1" applyAlignment="1" applyProtection="1">
      <alignment horizontal="left"/>
    </xf>
    <xf numFmtId="44" fontId="19" fillId="6" borderId="163" xfId="0" applyNumberFormat="1" applyFont="1" applyFill="1" applyBorder="1" applyAlignment="1" applyProtection="1"/>
    <xf numFmtId="44" fontId="19" fillId="6" borderId="153" xfId="0" applyNumberFormat="1" applyFont="1" applyFill="1" applyBorder="1" applyAlignment="1" applyProtection="1"/>
    <xf numFmtId="5" fontId="18" fillId="0" borderId="35" xfId="0" applyNumberFormat="1" applyFont="1" applyFill="1" applyBorder="1" applyAlignment="1" applyProtection="1"/>
    <xf numFmtId="5" fontId="15" fillId="0" borderId="36" xfId="0" applyNumberFormat="1" applyFont="1" applyFill="1" applyBorder="1" applyAlignment="1" applyProtection="1"/>
    <xf numFmtId="0" fontId="15" fillId="0" borderId="36" xfId="0" applyFont="1" applyFill="1" applyBorder="1" applyAlignment="1" applyProtection="1"/>
    <xf numFmtId="5" fontId="15" fillId="0" borderId="36" xfId="0" applyNumberFormat="1" applyFont="1" applyFill="1" applyBorder="1" applyAlignment="1" applyProtection="1">
      <alignment horizontal="left"/>
    </xf>
    <xf numFmtId="164" fontId="15" fillId="0" borderId="36" xfId="0" applyNumberFormat="1" applyFont="1" applyFill="1" applyBorder="1" applyAlignment="1" applyProtection="1">
      <alignment horizontal="left"/>
    </xf>
    <xf numFmtId="5" fontId="40" fillId="0" borderId="36" xfId="0" applyNumberFormat="1" applyFont="1" applyFill="1" applyBorder="1" applyAlignment="1" applyProtection="1"/>
    <xf numFmtId="5" fontId="40" fillId="0" borderId="37" xfId="0" applyNumberFormat="1" applyFont="1" applyFill="1" applyBorder="1" applyAlignment="1" applyProtection="1"/>
    <xf numFmtId="0" fontId="13" fillId="0" borderId="95" xfId="0" applyFont="1" applyFill="1" applyBorder="1" applyAlignment="1" applyProtection="1">
      <alignment horizontal="left"/>
    </xf>
    <xf numFmtId="0" fontId="13" fillId="0" borderId="98" xfId="0" applyFont="1" applyFill="1" applyBorder="1" applyAlignment="1" applyProtection="1">
      <alignment horizontal="left"/>
    </xf>
    <xf numFmtId="0" fontId="3" fillId="0" borderId="98" xfId="0" applyFont="1" applyFill="1" applyBorder="1" applyAlignment="1" applyProtection="1"/>
    <xf numFmtId="0" fontId="15" fillId="0" borderId="0" xfId="0" applyNumberFormat="1" applyFont="1" applyBorder="1" applyProtection="1"/>
    <xf numFmtId="0" fontId="35" fillId="0" borderId="98" xfId="0" applyFont="1" applyFill="1" applyBorder="1" applyAlignment="1" applyProtection="1"/>
    <xf numFmtId="5" fontId="15" fillId="0" borderId="0" xfId="0" applyNumberFormat="1" applyFont="1" applyBorder="1" applyProtection="1"/>
    <xf numFmtId="0" fontId="3" fillId="0" borderId="92" xfId="0" applyFont="1" applyFill="1" applyBorder="1" applyAlignment="1" applyProtection="1"/>
    <xf numFmtId="0" fontId="20" fillId="0" borderId="95" xfId="0" applyFont="1" applyFill="1" applyBorder="1" applyAlignment="1" applyProtection="1">
      <alignment horizontal="left"/>
    </xf>
    <xf numFmtId="0" fontId="15" fillId="0" borderId="96" xfId="0" applyFont="1" applyFill="1" applyBorder="1" applyAlignment="1" applyProtection="1"/>
    <xf numFmtId="0" fontId="15" fillId="0" borderId="113" xfId="0" applyFont="1" applyFill="1" applyBorder="1" applyAlignment="1" applyProtection="1"/>
    <xf numFmtId="0" fontId="20" fillId="0" borderId="98" xfId="0" applyFont="1" applyFill="1" applyBorder="1" applyAlignment="1" applyProtection="1">
      <alignment horizontal="left"/>
    </xf>
    <xf numFmtId="0" fontId="19" fillId="0" borderId="0" xfId="0" applyFont="1" applyFill="1" applyBorder="1" applyAlignment="1" applyProtection="1">
      <alignment vertical="center"/>
    </xf>
    <xf numFmtId="0" fontId="15" fillId="16" borderId="236" xfId="0" applyFont="1" applyFill="1" applyBorder="1" applyAlignment="1" applyProtection="1">
      <alignment wrapText="1"/>
    </xf>
    <xf numFmtId="166" fontId="15" fillId="16" borderId="236" xfId="0" applyNumberFormat="1" applyFont="1" applyFill="1" applyBorder="1" applyAlignment="1" applyProtection="1">
      <alignment wrapText="1"/>
    </xf>
    <xf numFmtId="9" fontId="15" fillId="16" borderId="236" xfId="0" applyNumberFormat="1" applyFont="1" applyFill="1" applyBorder="1" applyAlignment="1" applyProtection="1">
      <alignment wrapText="1"/>
    </xf>
    <xf numFmtId="166" fontId="15" fillId="16" borderId="237" xfId="0" applyNumberFormat="1" applyFont="1" applyFill="1" applyBorder="1" applyAlignment="1" applyProtection="1">
      <alignment wrapText="1"/>
    </xf>
    <xf numFmtId="0" fontId="15" fillId="0" borderId="35" xfId="0" applyFont="1" applyFill="1" applyBorder="1" applyProtection="1"/>
    <xf numFmtId="0" fontId="42" fillId="6" borderId="120" xfId="0" applyNumberFormat="1" applyFont="1" applyFill="1" applyBorder="1" applyAlignment="1" applyProtection="1">
      <alignment horizontal="center" vertical="center" wrapText="1"/>
    </xf>
    <xf numFmtId="0" fontId="42" fillId="6" borderId="238" xfId="0" applyNumberFormat="1" applyFont="1" applyFill="1" applyBorder="1" applyAlignment="1" applyProtection="1">
      <alignment horizontal="center" vertical="center" wrapText="1"/>
    </xf>
    <xf numFmtId="0" fontId="15" fillId="0" borderId="36" xfId="0" applyFont="1" applyFill="1" applyBorder="1" applyAlignment="1" applyProtection="1">
      <alignment horizontal="center"/>
    </xf>
    <xf numFmtId="166" fontId="15" fillId="0" borderId="36" xfId="0" applyNumberFormat="1" applyFont="1" applyFill="1" applyBorder="1" applyProtection="1"/>
    <xf numFmtId="9" fontId="15" fillId="0" borderId="36" xfId="0" applyNumberFormat="1" applyFont="1" applyFill="1" applyBorder="1" applyAlignment="1" applyProtection="1">
      <alignment horizontal="center"/>
    </xf>
    <xf numFmtId="166" fontId="15" fillId="0" borderId="36" xfId="0" applyNumberFormat="1" applyFont="1" applyFill="1" applyBorder="1" applyAlignment="1" applyProtection="1">
      <alignment horizontal="center"/>
    </xf>
    <xf numFmtId="3" fontId="15" fillId="0" borderId="36" xfId="0" applyNumberFormat="1" applyFont="1" applyFill="1" applyBorder="1" applyProtection="1"/>
    <xf numFmtId="0" fontId="15" fillId="0" borderId="199" xfId="0" applyFont="1" applyFill="1" applyBorder="1" applyProtection="1"/>
    <xf numFmtId="0" fontId="15" fillId="0" borderId="200" xfId="0" applyFont="1" applyFill="1" applyBorder="1" applyProtection="1"/>
    <xf numFmtId="9" fontId="15" fillId="0" borderId="0" xfId="0" applyNumberFormat="1" applyFont="1" applyFill="1" applyBorder="1" applyProtection="1"/>
    <xf numFmtId="0" fontId="15" fillId="0" borderId="177" xfId="0" applyFont="1" applyFill="1" applyBorder="1" applyProtection="1"/>
    <xf numFmtId="9" fontId="15" fillId="0" borderId="177" xfId="0" applyNumberFormat="1" applyFont="1" applyFill="1" applyBorder="1" applyProtection="1"/>
    <xf numFmtId="0" fontId="15" fillId="0" borderId="208" xfId="0" applyFont="1" applyFill="1" applyBorder="1" applyProtection="1"/>
    <xf numFmtId="165" fontId="40" fillId="0" borderId="177" xfId="0" applyNumberFormat="1" applyFont="1" applyFill="1" applyBorder="1" applyAlignment="1" applyProtection="1">
      <alignment vertical="center"/>
    </xf>
    <xf numFmtId="49" fontId="40" fillId="0" borderId="0" xfId="0" applyNumberFormat="1" applyFont="1" applyFill="1" applyBorder="1" applyAlignment="1" applyProtection="1">
      <alignment horizontal="left" vertical="center"/>
    </xf>
    <xf numFmtId="44" fontId="40" fillId="0" borderId="0" xfId="0" applyNumberFormat="1" applyFont="1" applyFill="1" applyBorder="1" applyAlignment="1" applyProtection="1">
      <alignment horizontal="right" vertical="center"/>
    </xf>
    <xf numFmtId="44" fontId="37" fillId="0" borderId="0" xfId="0" applyNumberFormat="1" applyFont="1" applyFill="1" applyBorder="1" applyAlignment="1" applyProtection="1">
      <alignment horizontal="right" vertical="center"/>
    </xf>
    <xf numFmtId="6" fontId="40" fillId="0" borderId="0" xfId="0" applyNumberFormat="1" applyFont="1" applyFill="1" applyBorder="1" applyAlignment="1" applyProtection="1">
      <alignment horizontal="right" vertical="center"/>
    </xf>
    <xf numFmtId="0" fontId="15" fillId="0" borderId="92" xfId="0" applyFont="1" applyFill="1" applyBorder="1" applyProtection="1"/>
    <xf numFmtId="0" fontId="15" fillId="0" borderId="94" xfId="0" applyFont="1" applyFill="1" applyBorder="1" applyProtection="1"/>
    <xf numFmtId="0" fontId="15" fillId="0" borderId="171" xfId="0" applyFont="1" applyFill="1" applyBorder="1" applyAlignment="1" applyProtection="1"/>
    <xf numFmtId="0" fontId="15" fillId="0" borderId="172" xfId="0" applyFont="1" applyBorder="1" applyAlignment="1" applyProtection="1"/>
    <xf numFmtId="166" fontId="19" fillId="0" borderId="172" xfId="0" applyNumberFormat="1" applyFont="1" applyBorder="1" applyProtection="1"/>
    <xf numFmtId="0" fontId="19" fillId="0" borderId="173" xfId="0" applyFont="1" applyBorder="1" applyProtection="1"/>
    <xf numFmtId="0" fontId="15" fillId="0" borderId="168" xfId="0" applyFont="1" applyFill="1" applyBorder="1" applyAlignment="1" applyProtection="1"/>
    <xf numFmtId="0" fontId="19" fillId="0" borderId="170" xfId="0" applyFont="1" applyBorder="1" applyProtection="1"/>
    <xf numFmtId="0" fontId="64" fillId="0" borderId="0" xfId="0" applyFont="1" applyFill="1" applyBorder="1" applyProtection="1"/>
    <xf numFmtId="166" fontId="19" fillId="0" borderId="0" xfId="0" applyNumberFormat="1" applyFont="1" applyBorder="1" applyProtection="1"/>
    <xf numFmtId="0" fontId="19" fillId="0" borderId="170" xfId="0" applyFont="1" applyFill="1" applyBorder="1" applyProtection="1"/>
    <xf numFmtId="0" fontId="18" fillId="0" borderId="0" xfId="0" applyFont="1" applyFill="1" applyBorder="1" applyProtection="1"/>
    <xf numFmtId="0" fontId="15" fillId="0" borderId="169" xfId="0" applyFont="1" applyFill="1" applyBorder="1" applyAlignment="1" applyProtection="1"/>
    <xf numFmtId="0" fontId="54" fillId="0" borderId="174" xfId="0" applyFont="1" applyFill="1" applyBorder="1" applyAlignment="1" applyProtection="1"/>
    <xf numFmtId="0" fontId="15" fillId="0" borderId="174" xfId="0" applyFont="1" applyFill="1" applyBorder="1" applyAlignment="1" applyProtection="1">
      <alignment vertical="top"/>
    </xf>
    <xf numFmtId="0" fontId="19" fillId="0" borderId="175" xfId="0" applyFont="1" applyFill="1" applyBorder="1" applyProtection="1"/>
    <xf numFmtId="0" fontId="15" fillId="0" borderId="95" xfId="0" applyFont="1" applyFill="1" applyBorder="1" applyProtection="1"/>
    <xf numFmtId="0" fontId="15" fillId="0" borderId="96" xfId="0" applyFont="1" applyFill="1" applyBorder="1" applyProtection="1"/>
    <xf numFmtId="0" fontId="15" fillId="0" borderId="97" xfId="0" applyFont="1" applyFill="1" applyBorder="1" applyProtection="1"/>
    <xf numFmtId="0" fontId="15" fillId="0" borderId="98" xfId="0" applyFont="1" applyFill="1" applyBorder="1" applyProtection="1"/>
    <xf numFmtId="0" fontId="15" fillId="0" borderId="99" xfId="0" applyFont="1" applyFill="1" applyBorder="1" applyProtection="1"/>
    <xf numFmtId="0" fontId="15" fillId="0" borderId="98" xfId="0" applyFont="1" applyFill="1" applyBorder="1" applyAlignment="1" applyProtection="1"/>
    <xf numFmtId="5" fontId="22" fillId="0" borderId="99" xfId="0" applyNumberFormat="1" applyFont="1" applyFill="1" applyBorder="1" applyAlignment="1" applyProtection="1"/>
    <xf numFmtId="0" fontId="15" fillId="3" borderId="98" xfId="0" applyFont="1" applyFill="1" applyBorder="1" applyProtection="1"/>
    <xf numFmtId="0" fontId="15" fillId="3" borderId="99" xfId="0" applyFont="1" applyFill="1" applyBorder="1" applyProtection="1"/>
    <xf numFmtId="0" fontId="20" fillId="0" borderId="0" xfId="0" applyFont="1" applyFill="1" applyBorder="1" applyAlignment="1" applyProtection="1">
      <alignment horizontal="center" wrapText="1"/>
    </xf>
    <xf numFmtId="0" fontId="20" fillId="0" borderId="0" xfId="0" applyFont="1" applyFill="1" applyBorder="1" applyAlignment="1" applyProtection="1">
      <alignment horizontal="center"/>
    </xf>
    <xf numFmtId="0" fontId="15" fillId="5" borderId="16" xfId="0" applyFont="1" applyFill="1" applyBorder="1" applyAlignment="1" applyProtection="1">
      <alignment vertical="top"/>
    </xf>
    <xf numFmtId="0" fontId="15" fillId="0" borderId="0" xfId="0" applyFont="1" applyBorder="1" applyAlignment="1" applyProtection="1">
      <alignment wrapText="1"/>
      <protection locked="0"/>
    </xf>
    <xf numFmtId="0" fontId="15" fillId="0" borderId="0" xfId="0" applyFont="1" applyProtection="1">
      <protection locked="0"/>
    </xf>
    <xf numFmtId="0" fontId="15" fillId="0" borderId="0" xfId="0" applyFont="1" applyProtection="1"/>
    <xf numFmtId="0" fontId="19" fillId="0" borderId="0" xfId="0" applyFont="1" applyBorder="1" applyAlignment="1" applyProtection="1">
      <alignment horizontal="center" wrapText="1"/>
    </xf>
    <xf numFmtId="49" fontId="15"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6" fillId="16" borderId="226" xfId="0" applyFont="1" applyFill="1" applyBorder="1" applyAlignment="1" applyProtection="1">
      <alignment horizontal="center" vertical="center" wrapText="1"/>
    </xf>
    <xf numFmtId="0" fontId="6" fillId="16" borderId="222" xfId="0" applyFont="1" applyFill="1" applyBorder="1" applyAlignment="1" applyProtection="1">
      <alignment horizontal="center" vertical="center" wrapText="1"/>
    </xf>
    <xf numFmtId="0" fontId="6" fillId="16" borderId="158" xfId="0" applyFont="1" applyFill="1" applyBorder="1" applyAlignment="1" applyProtection="1">
      <alignment horizontal="center" vertical="center" wrapText="1"/>
    </xf>
    <xf numFmtId="0" fontId="8" fillId="16" borderId="222" xfId="0" applyFont="1" applyFill="1" applyBorder="1" applyAlignment="1" applyProtection="1">
      <alignment horizontal="center" vertical="center" wrapText="1"/>
    </xf>
    <xf numFmtId="0" fontId="6" fillId="16" borderId="223"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8"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1" fillId="0" borderId="0" xfId="0" applyNumberFormat="1" applyFont="1" applyFill="1" applyBorder="1" applyAlignment="1" applyProtection="1">
      <alignment horizontal="right"/>
    </xf>
    <xf numFmtId="0" fontId="15"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5" fillId="26" borderId="13" xfId="0" applyNumberFormat="1" applyFont="1" applyFill="1" applyBorder="1" applyAlignment="1" applyProtection="1">
      <alignment vertical="center" wrapText="1"/>
    </xf>
    <xf numFmtId="3" fontId="19" fillId="6" borderId="228" xfId="0" applyNumberFormat="1" applyFont="1" applyFill="1" applyBorder="1" applyAlignment="1" applyProtection="1">
      <alignment vertical="center"/>
    </xf>
    <xf numFmtId="3" fontId="19" fillId="27" borderId="17" xfId="0" applyNumberFormat="1" applyFont="1" applyFill="1" applyBorder="1" applyAlignment="1" applyProtection="1">
      <alignment vertical="center"/>
    </xf>
    <xf numFmtId="3" fontId="15" fillId="26" borderId="228" xfId="0" applyNumberFormat="1" applyFont="1" applyFill="1" applyBorder="1" applyAlignment="1" applyProtection="1">
      <alignment vertical="center" wrapText="1"/>
    </xf>
    <xf numFmtId="3" fontId="19" fillId="6" borderId="238" xfId="0" applyNumberFormat="1" applyFont="1" applyFill="1" applyBorder="1" applyAlignment="1" applyProtection="1">
      <alignment vertical="center"/>
    </xf>
    <xf numFmtId="3" fontId="19" fillId="6" borderId="17" xfId="0" applyNumberFormat="1" applyFont="1" applyFill="1" applyBorder="1" applyAlignment="1" applyProtection="1">
      <alignment vertical="center"/>
    </xf>
    <xf numFmtId="6" fontId="53" fillId="0" borderId="233" xfId="0" applyNumberFormat="1" applyFont="1" applyFill="1" applyBorder="1" applyAlignment="1" applyProtection="1">
      <alignment horizontal="center"/>
      <protection locked="0"/>
    </xf>
    <xf numFmtId="44" fontId="15" fillId="6" borderId="165" xfId="0" applyNumberFormat="1" applyFont="1" applyFill="1" applyBorder="1" applyProtection="1"/>
    <xf numFmtId="0" fontId="15" fillId="0" borderId="166" xfId="0" applyFont="1" applyFill="1" applyBorder="1" applyProtection="1">
      <protection locked="0"/>
    </xf>
    <xf numFmtId="44" fontId="15" fillId="6" borderId="120" xfId="0" applyNumberFormat="1" applyFont="1" applyFill="1" applyBorder="1" applyProtection="1"/>
    <xf numFmtId="0" fontId="15" fillId="0" borderId="119" xfId="0" applyFont="1" applyFill="1" applyBorder="1" applyProtection="1">
      <protection locked="0"/>
    </xf>
    <xf numFmtId="44" fontId="15" fillId="6" borderId="73" xfId="0" applyNumberFormat="1" applyFont="1" applyFill="1" applyBorder="1" applyProtection="1"/>
    <xf numFmtId="0" fontId="15" fillId="0" borderId="23" xfId="0" applyFont="1" applyFill="1" applyBorder="1" applyProtection="1">
      <protection locked="0"/>
    </xf>
    <xf numFmtId="44" fontId="15" fillId="0" borderId="77" xfId="0" applyNumberFormat="1" applyFont="1" applyFill="1" applyBorder="1" applyProtection="1"/>
    <xf numFmtId="44" fontId="15" fillId="6" borderId="62" xfId="0" applyNumberFormat="1" applyFont="1" applyFill="1" applyBorder="1" applyProtection="1"/>
    <xf numFmtId="0" fontId="14" fillId="6" borderId="149" xfId="0" applyFont="1" applyFill="1" applyBorder="1" applyProtection="1"/>
    <xf numFmtId="0" fontId="14" fillId="6" borderId="163" xfId="0" applyFont="1" applyFill="1" applyBorder="1" applyAlignment="1" applyProtection="1">
      <alignment horizontal="center"/>
    </xf>
    <xf numFmtId="0" fontId="14" fillId="6" borderId="150" xfId="0" applyFont="1" applyFill="1" applyBorder="1" applyAlignment="1" applyProtection="1">
      <alignment horizontal="center"/>
    </xf>
    <xf numFmtId="0" fontId="15" fillId="0" borderId="167" xfId="0" applyFont="1" applyFill="1" applyBorder="1" applyProtection="1">
      <protection locked="0"/>
    </xf>
    <xf numFmtId="0" fontId="22" fillId="0" borderId="0" xfId="0" applyFont="1" applyFill="1" applyBorder="1" applyProtection="1"/>
    <xf numFmtId="42" fontId="19" fillId="16" borderId="163" xfId="0" applyNumberFormat="1" applyFont="1" applyFill="1" applyBorder="1" applyAlignment="1" applyProtection="1">
      <alignment vertical="center"/>
    </xf>
    <xf numFmtId="0" fontId="19" fillId="16" borderId="12" xfId="0" applyFont="1" applyFill="1" applyBorder="1" applyAlignment="1" applyProtection="1">
      <alignment horizontal="center" wrapText="1"/>
    </xf>
    <xf numFmtId="166" fontId="42" fillId="16" borderId="152" xfId="0" applyNumberFormat="1" applyFont="1" applyFill="1" applyBorder="1" applyAlignment="1" applyProtection="1">
      <alignment horizontal="center" vertical="center" wrapText="1"/>
    </xf>
    <xf numFmtId="0" fontId="40" fillId="16" borderId="0" xfId="0" applyFont="1" applyFill="1" applyBorder="1" applyAlignment="1" applyProtection="1">
      <alignment vertical="center"/>
    </xf>
    <xf numFmtId="165" fontId="40" fillId="0" borderId="209" xfId="0" applyNumberFormat="1" applyFont="1" applyFill="1" applyBorder="1" applyAlignment="1" applyProtection="1">
      <alignment vertical="center"/>
      <protection locked="0"/>
    </xf>
    <xf numFmtId="0" fontId="15" fillId="0" borderId="15" xfId="0" applyFont="1" applyFill="1" applyBorder="1" applyAlignment="1" applyProtection="1">
      <alignment textRotation="90" wrapText="1"/>
    </xf>
    <xf numFmtId="0" fontId="15" fillId="0" borderId="20" xfId="0" applyFont="1" applyFill="1" applyBorder="1" applyAlignment="1" applyProtection="1">
      <alignment horizontal="center" vertical="center" wrapText="1"/>
      <protection locked="0"/>
    </xf>
    <xf numFmtId="0" fontId="15" fillId="0" borderId="211" xfId="0" applyFont="1" applyFill="1" applyBorder="1" applyAlignment="1" applyProtection="1">
      <alignment horizontal="center" vertical="center" wrapText="1"/>
      <protection locked="0"/>
    </xf>
    <xf numFmtId="0" fontId="15" fillId="0" borderId="183" xfId="0" applyFont="1" applyFill="1" applyBorder="1" applyAlignment="1" applyProtection="1">
      <alignment horizontal="center" vertical="center" wrapText="1"/>
      <protection locked="0"/>
    </xf>
    <xf numFmtId="0" fontId="15" fillId="0" borderId="239" xfId="0" applyFont="1" applyFill="1" applyBorder="1" applyAlignment="1" applyProtection="1">
      <alignment vertical="top"/>
    </xf>
    <xf numFmtId="0" fontId="15" fillId="0" borderId="240" xfId="0" applyFont="1" applyFill="1" applyBorder="1" applyAlignment="1" applyProtection="1">
      <alignment vertical="top" wrapText="1"/>
    </xf>
    <xf numFmtId="0" fontId="15" fillId="0" borderId="76" xfId="0" applyFont="1" applyFill="1" applyBorder="1" applyAlignment="1" applyProtection="1">
      <alignment vertical="top"/>
    </xf>
    <xf numFmtId="0" fontId="15" fillId="0" borderId="241" xfId="0" applyFont="1" applyFill="1" applyBorder="1" applyAlignment="1" applyProtection="1">
      <alignment vertical="top" wrapText="1"/>
    </xf>
    <xf numFmtId="0" fontId="15" fillId="0" borderId="75" xfId="0" applyFont="1" applyFill="1" applyBorder="1" applyAlignment="1" applyProtection="1">
      <alignment vertical="top"/>
    </xf>
    <xf numFmtId="0" fontId="15" fillId="0" borderId="242" xfId="0" applyFont="1" applyFill="1" applyBorder="1" applyAlignment="1" applyProtection="1">
      <alignment vertical="top" wrapText="1"/>
    </xf>
    <xf numFmtId="0" fontId="15" fillId="0" borderId="53" xfId="0" applyFont="1" applyFill="1" applyBorder="1" applyAlignment="1" applyProtection="1">
      <alignment vertical="top" wrapText="1"/>
      <protection locked="0"/>
    </xf>
    <xf numFmtId="0" fontId="20" fillId="16" borderId="0" xfId="0" applyFont="1" applyFill="1" applyBorder="1" applyAlignment="1" applyProtection="1">
      <alignment horizontal="center" wrapText="1"/>
    </xf>
    <xf numFmtId="0" fontId="20" fillId="16" borderId="0" xfId="0" applyFont="1" applyFill="1" applyBorder="1" applyAlignment="1" applyProtection="1">
      <alignment horizontal="center"/>
    </xf>
    <xf numFmtId="0" fontId="15" fillId="16" borderId="0" xfId="0" applyFont="1" applyFill="1" applyBorder="1" applyAlignment="1" applyProtection="1">
      <alignment wrapText="1"/>
    </xf>
    <xf numFmtId="0" fontId="0" fillId="0" borderId="0" xfId="0"/>
    <xf numFmtId="38" fontId="53" fillId="0" borderId="225" xfId="0" applyNumberFormat="1" applyFont="1" applyBorder="1" applyProtection="1"/>
    <xf numFmtId="3" fontId="3" fillId="26" borderId="243"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19" fillId="0" borderId="163" xfId="0" applyFont="1" applyFill="1" applyBorder="1" applyAlignment="1" applyProtection="1"/>
    <xf numFmtId="0" fontId="42" fillId="0" borderId="0" xfId="0" applyFont="1" applyFill="1" applyBorder="1" applyAlignment="1" applyProtection="1"/>
    <xf numFmtId="0" fontId="42" fillId="16" borderId="73" xfId="0" applyFont="1" applyFill="1" applyBorder="1" applyAlignment="1" applyProtection="1">
      <alignment vertical="center"/>
    </xf>
    <xf numFmtId="0" fontId="42" fillId="16" borderId="163" xfId="0" applyFont="1" applyFill="1" applyBorder="1" applyAlignment="1" applyProtection="1">
      <alignment horizontal="left" vertical="center"/>
    </xf>
    <xf numFmtId="0" fontId="15" fillId="0" borderId="0" xfId="0" applyFont="1" applyFill="1" applyBorder="1" applyAlignment="1" applyProtection="1">
      <alignment wrapText="1"/>
    </xf>
    <xf numFmtId="0" fontId="15" fillId="0" borderId="244" xfId="0" applyFont="1" applyFill="1" applyBorder="1" applyProtection="1"/>
    <xf numFmtId="0" fontId="40" fillId="0" borderId="214" xfId="0" applyFont="1" applyFill="1" applyBorder="1" applyAlignment="1" applyProtection="1">
      <alignment vertical="center"/>
    </xf>
    <xf numFmtId="14" fontId="54" fillId="0" borderId="233" xfId="0" applyNumberFormat="1" applyFont="1" applyFill="1" applyBorder="1" applyAlignment="1" applyProtection="1">
      <alignment horizontal="left" vertical="center"/>
      <protection locked="0"/>
    </xf>
    <xf numFmtId="0" fontId="15" fillId="0" borderId="168" xfId="0" applyFont="1" applyFill="1" applyBorder="1" applyProtection="1"/>
    <xf numFmtId="0" fontId="42" fillId="16" borderId="236" xfId="0" applyFont="1" applyFill="1" applyBorder="1" applyAlignment="1" applyProtection="1">
      <alignment horizontal="center" vertical="center"/>
    </xf>
    <xf numFmtId="0" fontId="42" fillId="16" borderId="237" xfId="0" applyFont="1" applyFill="1" applyBorder="1" applyAlignment="1" applyProtection="1">
      <alignment horizontal="center" vertical="center"/>
    </xf>
    <xf numFmtId="0" fontId="37" fillId="0" borderId="228" xfId="0" applyFont="1" applyFill="1" applyBorder="1" applyAlignment="1" applyProtection="1">
      <alignment horizontal="center" vertical="center"/>
    </xf>
    <xf numFmtId="0" fontId="42" fillId="8" borderId="217" xfId="0" applyFont="1" applyFill="1" applyBorder="1" applyAlignment="1" applyProtection="1">
      <alignment horizontal="center" vertical="center"/>
    </xf>
    <xf numFmtId="0" fontId="42" fillId="8" borderId="220" xfId="0" applyFont="1" applyFill="1" applyBorder="1" applyAlignment="1" applyProtection="1">
      <alignment horizontal="center" vertical="center"/>
    </xf>
    <xf numFmtId="0" fontId="42" fillId="16" borderId="223" xfId="0" applyFont="1" applyFill="1" applyBorder="1" applyAlignment="1" applyProtection="1">
      <alignment horizontal="center" vertical="center"/>
    </xf>
    <xf numFmtId="14" fontId="54" fillId="6" borderId="233" xfId="0" applyNumberFormat="1" applyFont="1" applyFill="1" applyBorder="1" applyAlignment="1" applyProtection="1">
      <alignment horizontal="left" vertical="center"/>
    </xf>
    <xf numFmtId="0" fontId="15" fillId="0" borderId="170" xfId="0" applyFont="1" applyFill="1" applyBorder="1" applyProtection="1"/>
    <xf numFmtId="0" fontId="37" fillId="0" borderId="228" xfId="0" applyFont="1" applyFill="1" applyBorder="1" applyAlignment="1" applyProtection="1">
      <alignment horizontal="center"/>
    </xf>
    <xf numFmtId="6" fontId="42" fillId="0" borderId="225" xfId="0" applyNumberFormat="1" applyFont="1" applyFill="1" applyBorder="1" applyAlignment="1" applyProtection="1">
      <alignment vertical="center"/>
    </xf>
    <xf numFmtId="0" fontId="0" fillId="0" borderId="0" xfId="0" applyBorder="1"/>
    <xf numFmtId="0" fontId="15" fillId="0" borderId="169" xfId="0" applyFont="1" applyFill="1" applyBorder="1" applyProtection="1"/>
    <xf numFmtId="0" fontId="15" fillId="0" borderId="174" xfId="0" applyFont="1" applyFill="1" applyBorder="1" applyProtection="1"/>
    <xf numFmtId="0" fontId="37" fillId="0" borderId="174" xfId="0" applyFont="1" applyFill="1" applyBorder="1" applyAlignment="1" applyProtection="1">
      <alignment vertical="center"/>
    </xf>
    <xf numFmtId="0" fontId="15" fillId="0" borderId="175" xfId="0" applyFont="1" applyFill="1" applyBorder="1" applyProtection="1"/>
    <xf numFmtId="0" fontId="19" fillId="16" borderId="236" xfId="0" applyFont="1" applyFill="1" applyBorder="1" applyAlignment="1" applyProtection="1">
      <alignment wrapText="1"/>
    </xf>
    <xf numFmtId="0" fontId="15" fillId="0" borderId="245" xfId="0" applyFont="1" applyFill="1" applyBorder="1" applyAlignment="1" applyProtection="1">
      <alignment vertical="center"/>
      <protection locked="0"/>
    </xf>
    <xf numFmtId="44" fontId="15" fillId="0" borderId="245" xfId="0" applyNumberFormat="1" applyFont="1" applyFill="1" applyBorder="1" applyAlignment="1" applyProtection="1">
      <alignment vertical="center"/>
      <protection locked="0"/>
    </xf>
    <xf numFmtId="44" fontId="15" fillId="0" borderId="246" xfId="0" applyNumberFormat="1" applyFont="1" applyFill="1" applyBorder="1" applyAlignment="1" applyProtection="1">
      <protection locked="0"/>
    </xf>
    <xf numFmtId="1" fontId="15" fillId="0" borderId="246" xfId="0" applyNumberFormat="1" applyFont="1" applyFill="1" applyBorder="1" applyAlignment="1" applyProtection="1">
      <protection locked="0"/>
    </xf>
    <xf numFmtId="0" fontId="15" fillId="0" borderId="246" xfId="0" applyFont="1" applyFill="1" applyBorder="1" applyAlignment="1" applyProtection="1">
      <protection locked="0"/>
    </xf>
    <xf numFmtId="0" fontId="15" fillId="0" borderId="250" xfId="0" applyFont="1" applyFill="1" applyBorder="1" applyAlignment="1" applyProtection="1">
      <alignment vertical="center"/>
      <protection locked="0"/>
    </xf>
    <xf numFmtId="44" fontId="15" fillId="0" borderId="250" xfId="0" applyNumberFormat="1" applyFont="1" applyFill="1" applyBorder="1" applyAlignment="1" applyProtection="1">
      <alignment vertical="center"/>
      <protection locked="0"/>
    </xf>
    <xf numFmtId="44" fontId="15" fillId="0" borderId="251" xfId="0" applyNumberFormat="1" applyFont="1" applyFill="1" applyBorder="1" applyAlignment="1" applyProtection="1">
      <protection locked="0"/>
    </xf>
    <xf numFmtId="1" fontId="15" fillId="0" borderId="251" xfId="0" applyNumberFormat="1" applyFont="1" applyFill="1" applyBorder="1" applyAlignment="1" applyProtection="1">
      <protection locked="0"/>
    </xf>
    <xf numFmtId="0" fontId="15" fillId="0" borderId="251" xfId="0" applyFont="1" applyFill="1" applyBorder="1" applyAlignment="1" applyProtection="1">
      <protection locked="0"/>
    </xf>
    <xf numFmtId="0" fontId="15" fillId="0" borderId="245" xfId="0" applyFont="1" applyFill="1" applyBorder="1" applyAlignment="1" applyProtection="1">
      <protection locked="0"/>
    </xf>
    <xf numFmtId="44" fontId="15" fillId="0" borderId="245" xfId="0" applyNumberFormat="1" applyFont="1" applyFill="1" applyBorder="1" applyAlignment="1" applyProtection="1">
      <protection locked="0"/>
    </xf>
    <xf numFmtId="166" fontId="15" fillId="0" borderId="245" xfId="0" applyNumberFormat="1" applyFont="1" applyFill="1" applyBorder="1" applyAlignment="1" applyProtection="1">
      <protection locked="0"/>
    </xf>
    <xf numFmtId="0" fontId="15" fillId="0" borderId="265" xfId="0" applyFont="1" applyFill="1" applyBorder="1" applyAlignment="1" applyProtection="1">
      <protection locked="0"/>
    </xf>
    <xf numFmtId="0" fontId="15" fillId="0" borderId="267" xfId="0" applyFont="1" applyFill="1" applyBorder="1" applyAlignment="1" applyProtection="1">
      <protection locked="0"/>
    </xf>
    <xf numFmtId="0" fontId="15" fillId="0" borderId="269" xfId="0" applyFont="1" applyFill="1" applyBorder="1" applyAlignment="1" applyProtection="1">
      <protection locked="0"/>
    </xf>
    <xf numFmtId="0" fontId="15" fillId="0" borderId="250" xfId="0" applyFont="1" applyFill="1" applyBorder="1" applyAlignment="1" applyProtection="1">
      <protection locked="0"/>
    </xf>
    <xf numFmtId="44" fontId="15" fillId="0" borderId="250" xfId="0" applyNumberFormat="1" applyFont="1" applyFill="1" applyBorder="1" applyAlignment="1" applyProtection="1">
      <protection locked="0"/>
    </xf>
    <xf numFmtId="166" fontId="15" fillId="0" borderId="250" xfId="0" applyNumberFormat="1" applyFont="1" applyFill="1" applyBorder="1" applyAlignment="1" applyProtection="1">
      <protection locked="0"/>
    </xf>
    <xf numFmtId="0" fontId="15" fillId="0" borderId="270" xfId="0" applyFont="1" applyFill="1" applyBorder="1" applyAlignment="1" applyProtection="1">
      <protection locked="0"/>
    </xf>
    <xf numFmtId="0" fontId="15" fillId="0" borderId="272" xfId="0" applyFont="1" applyFill="1" applyBorder="1" applyAlignment="1" applyProtection="1">
      <protection locked="0"/>
    </xf>
    <xf numFmtId="0" fontId="15" fillId="0" borderId="274" xfId="0" applyFont="1" applyFill="1" applyBorder="1" applyAlignment="1" applyProtection="1">
      <protection locked="0"/>
    </xf>
    <xf numFmtId="0" fontId="15" fillId="0" borderId="277" xfId="0" applyFont="1" applyFill="1" applyBorder="1" applyAlignment="1" applyProtection="1">
      <protection locked="0"/>
    </xf>
    <xf numFmtId="0" fontId="15" fillId="0" borderId="278" xfId="0" applyFont="1" applyFill="1" applyBorder="1" applyAlignment="1" applyProtection="1">
      <protection locked="0"/>
    </xf>
    <xf numFmtId="0" fontId="15" fillId="0" borderId="279" xfId="0" applyFont="1" applyFill="1" applyBorder="1" applyAlignment="1" applyProtection="1">
      <protection locked="0"/>
    </xf>
    <xf numFmtId="0" fontId="15" fillId="0" borderId="280" xfId="0" applyFont="1" applyFill="1" applyBorder="1" applyAlignment="1" applyProtection="1">
      <protection locked="0"/>
    </xf>
    <xf numFmtId="0" fontId="15" fillId="0" borderId="281" xfId="0" applyFont="1" applyFill="1" applyBorder="1" applyAlignment="1" applyProtection="1">
      <protection locked="0"/>
    </xf>
    <xf numFmtId="0" fontId="15" fillId="0" borderId="282" xfId="0" applyFont="1" applyFill="1" applyBorder="1" applyAlignment="1" applyProtection="1">
      <protection locked="0"/>
    </xf>
    <xf numFmtId="0" fontId="0" fillId="0" borderId="78" xfId="0" applyFill="1" applyBorder="1"/>
    <xf numFmtId="0" fontId="15" fillId="0" borderId="79" xfId="0" applyFont="1" applyFill="1" applyBorder="1" applyAlignment="1">
      <alignment vertical="center"/>
    </xf>
    <xf numFmtId="0" fontId="15"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1" fontId="7" fillId="0" borderId="280" xfId="0" applyNumberFormat="1" applyFont="1" applyFill="1" applyBorder="1" applyAlignment="1" applyProtection="1">
      <protection locked="0"/>
    </xf>
    <xf numFmtId="42" fontId="7" fillId="0" borderId="280" xfId="0" applyNumberFormat="1" applyFont="1" applyFill="1" applyBorder="1" applyAlignment="1" applyProtection="1">
      <protection locked="0"/>
    </xf>
    <xf numFmtId="1" fontId="7" fillId="0" borderId="315" xfId="0" applyNumberFormat="1" applyFont="1" applyFill="1" applyBorder="1" applyAlignment="1" applyProtection="1">
      <protection locked="0"/>
    </xf>
    <xf numFmtId="165" fontId="15" fillId="0" borderId="0" xfId="0" applyNumberFormat="1" applyFont="1" applyFill="1" applyBorder="1" applyProtection="1"/>
    <xf numFmtId="0" fontId="15" fillId="0" borderId="66" xfId="0" applyFont="1" applyFill="1" applyBorder="1" applyProtection="1"/>
    <xf numFmtId="0" fontId="64" fillId="23" borderId="0" xfId="0" applyFont="1" applyFill="1" applyBorder="1" applyAlignment="1" applyProtection="1">
      <alignment vertical="center"/>
    </xf>
    <xf numFmtId="165" fontId="15" fillId="0" borderId="199" xfId="0" applyNumberFormat="1" applyFont="1" applyFill="1" applyBorder="1" applyProtection="1"/>
    <xf numFmtId="165" fontId="40" fillId="0" borderId="198" xfId="0" applyNumberFormat="1" applyFont="1" applyFill="1" applyBorder="1" applyAlignment="1" applyProtection="1">
      <alignment vertical="center"/>
    </xf>
    <xf numFmtId="165" fontId="40" fillId="0" borderId="199" xfId="0" applyNumberFormat="1" applyFont="1" applyFill="1" applyBorder="1" applyAlignment="1" applyProtection="1">
      <alignment vertical="center"/>
    </xf>
    <xf numFmtId="165" fontId="40" fillId="0" borderId="0" xfId="0" applyNumberFormat="1" applyFont="1" applyFill="1" applyBorder="1" applyAlignment="1" applyProtection="1">
      <alignment vertical="center"/>
    </xf>
    <xf numFmtId="166" fontId="40" fillId="8" borderId="38" xfId="0" applyNumberFormat="1" applyFont="1" applyFill="1" applyBorder="1" applyAlignment="1" applyProtection="1">
      <alignment horizontal="right" vertical="center"/>
    </xf>
    <xf numFmtId="165" fontId="15" fillId="0" borderId="261" xfId="0" applyNumberFormat="1" applyFont="1" applyFill="1" applyBorder="1" applyProtection="1">
      <protection locked="0"/>
    </xf>
    <xf numFmtId="165" fontId="40" fillId="0" borderId="378" xfId="0" applyNumberFormat="1" applyFont="1" applyFill="1" applyBorder="1" applyAlignment="1" applyProtection="1">
      <alignment vertical="center"/>
      <protection locked="0"/>
    </xf>
    <xf numFmtId="0" fontId="15" fillId="0" borderId="383" xfId="0" applyFont="1" applyFill="1" applyBorder="1" applyAlignment="1" applyProtection="1">
      <alignment horizontal="center" wrapText="1"/>
      <protection locked="0"/>
    </xf>
    <xf numFmtId="9" fontId="15" fillId="0" borderId="383" xfId="0" applyNumberFormat="1" applyFont="1" applyFill="1" applyBorder="1" applyAlignment="1" applyProtection="1">
      <alignment horizontal="right" wrapText="1"/>
      <protection locked="0"/>
    </xf>
    <xf numFmtId="0" fontId="15" fillId="0" borderId="330" xfId="0" applyFont="1" applyFill="1" applyBorder="1" applyAlignment="1" applyProtection="1">
      <alignment horizontal="center"/>
      <protection locked="0"/>
    </xf>
    <xf numFmtId="9" fontId="15" fillId="0" borderId="330" xfId="0" applyNumberFormat="1" applyFont="1" applyFill="1" applyBorder="1" applyAlignment="1" applyProtection="1">
      <alignment horizontal="right" wrapText="1"/>
      <protection locked="0"/>
    </xf>
    <xf numFmtId="0" fontId="40" fillId="0" borderId="293" xfId="0" applyFont="1" applyFill="1" applyBorder="1" applyAlignment="1" applyProtection="1">
      <alignment wrapText="1"/>
      <protection locked="0"/>
    </xf>
    <xf numFmtId="0" fontId="40" fillId="0" borderId="292" xfId="0" applyFont="1" applyFill="1" applyBorder="1" applyAlignment="1" applyProtection="1">
      <alignment horizontal="left"/>
      <protection locked="0"/>
    </xf>
    <xf numFmtId="0" fontId="15" fillId="0" borderId="292" xfId="0" applyFont="1" applyFill="1" applyBorder="1" applyAlignment="1" applyProtection="1">
      <alignment horizontal="center"/>
      <protection locked="0"/>
    </xf>
    <xf numFmtId="0" fontId="15" fillId="0" borderId="293" xfId="0" applyFont="1" applyFill="1" applyBorder="1" applyAlignment="1" applyProtection="1">
      <alignment horizontal="center"/>
      <protection locked="0"/>
    </xf>
    <xf numFmtId="0" fontId="3" fillId="6" borderId="397" xfId="0" applyFont="1" applyFill="1" applyBorder="1" applyAlignment="1" applyProtection="1">
      <alignment horizontal="center"/>
    </xf>
    <xf numFmtId="0" fontId="40" fillId="0" borderId="280" xfId="0" applyFont="1" applyFill="1" applyBorder="1" applyAlignment="1" applyProtection="1">
      <alignment wrapText="1"/>
      <protection locked="0"/>
    </xf>
    <xf numFmtId="0" fontId="40" fillId="0" borderId="289" xfId="0" applyFont="1" applyFill="1" applyBorder="1" applyAlignment="1" applyProtection="1">
      <alignment horizontal="center"/>
      <protection locked="0"/>
    </xf>
    <xf numFmtId="0" fontId="15" fillId="0" borderId="289" xfId="0" applyFont="1" applyFill="1" applyBorder="1" applyAlignment="1" applyProtection="1">
      <alignment horizontal="center"/>
      <protection locked="0"/>
    </xf>
    <xf numFmtId="0" fontId="15" fillId="0" borderId="280" xfId="0" applyFont="1" applyFill="1" applyBorder="1" applyAlignment="1" applyProtection="1">
      <alignment horizontal="center"/>
      <protection locked="0"/>
    </xf>
    <xf numFmtId="0" fontId="3" fillId="6" borderId="393" xfId="0" applyFont="1" applyFill="1" applyBorder="1" applyAlignment="1" applyProtection="1">
      <alignment horizontal="center"/>
    </xf>
    <xf numFmtId="0" fontId="1" fillId="6" borderId="393" xfId="0" applyFont="1" applyFill="1" applyBorder="1" applyAlignment="1" applyProtection="1">
      <alignment horizontal="center"/>
    </xf>
    <xf numFmtId="0" fontId="41" fillId="0" borderId="289" xfId="0" applyFont="1" applyFill="1" applyBorder="1" applyAlignment="1" applyProtection="1">
      <alignment horizontal="center"/>
      <protection locked="0"/>
    </xf>
    <xf numFmtId="0" fontId="0" fillId="0" borderId="289" xfId="0" applyFont="1" applyFill="1" applyBorder="1" applyAlignment="1" applyProtection="1">
      <alignment horizontal="center"/>
      <protection locked="0"/>
    </xf>
    <xf numFmtId="0" fontId="0" fillId="0" borderId="280" xfId="0" applyFont="1" applyFill="1" applyBorder="1" applyAlignment="1" applyProtection="1">
      <alignment horizontal="center"/>
      <protection locked="0"/>
    </xf>
    <xf numFmtId="0" fontId="40" fillId="0" borderId="297" xfId="0" applyFont="1" applyFill="1" applyBorder="1" applyAlignment="1" applyProtection="1">
      <alignment wrapText="1"/>
      <protection locked="0"/>
    </xf>
    <xf numFmtId="0" fontId="41" fillId="0" borderId="296" xfId="0" applyFont="1" applyFill="1" applyBorder="1" applyAlignment="1" applyProtection="1">
      <alignment horizontal="center"/>
      <protection locked="0"/>
    </xf>
    <xf numFmtId="0" fontId="0" fillId="0" borderId="296" xfId="0" applyFont="1" applyFill="1" applyBorder="1" applyAlignment="1" applyProtection="1">
      <alignment horizontal="center"/>
      <protection locked="0"/>
    </xf>
    <xf numFmtId="0" fontId="1" fillId="6" borderId="401" xfId="0" applyFont="1" applyFill="1" applyBorder="1" applyAlignment="1" applyProtection="1">
      <alignment horizontal="center"/>
    </xf>
    <xf numFmtId="0" fontId="0" fillId="0" borderId="297" xfId="0" applyFont="1" applyFill="1" applyBorder="1" applyAlignment="1" applyProtection="1">
      <alignment horizontal="center"/>
      <protection locked="0"/>
    </xf>
    <xf numFmtId="3" fontId="16" fillId="0" borderId="321" xfId="0" applyNumberFormat="1" applyFont="1" applyFill="1" applyBorder="1" applyAlignment="1" applyProtection="1">
      <alignment vertical="center"/>
      <protection locked="0"/>
    </xf>
    <xf numFmtId="3" fontId="14" fillId="6" borderId="397" xfId="0" applyNumberFormat="1" applyFont="1" applyFill="1" applyBorder="1" applyAlignment="1" applyProtection="1">
      <alignment vertical="center"/>
    </xf>
    <xf numFmtId="3" fontId="14" fillId="27" borderId="402" xfId="0" applyNumberFormat="1" applyFont="1" applyFill="1" applyBorder="1" applyAlignment="1" applyProtection="1">
      <alignment vertical="center"/>
    </xf>
    <xf numFmtId="3" fontId="14" fillId="0" borderId="403" xfId="0" applyNumberFormat="1" applyFont="1" applyFill="1" applyBorder="1" applyAlignment="1" applyProtection="1">
      <alignment vertical="center"/>
      <protection locked="0"/>
    </xf>
    <xf numFmtId="3" fontId="14" fillId="0" borderId="293" xfId="0" applyNumberFormat="1" applyFont="1" applyFill="1" applyBorder="1" applyAlignment="1" applyProtection="1">
      <alignment vertical="center"/>
      <protection locked="0"/>
    </xf>
    <xf numFmtId="3" fontId="14" fillId="0" borderId="253" xfId="0" applyNumberFormat="1" applyFont="1" applyFill="1" applyBorder="1" applyAlignment="1" applyProtection="1">
      <alignment vertical="center" wrapText="1"/>
      <protection locked="0"/>
    </xf>
    <xf numFmtId="3" fontId="14" fillId="0" borderId="288" xfId="0" applyNumberFormat="1" applyFont="1" applyFill="1" applyBorder="1" applyAlignment="1" applyProtection="1">
      <alignment vertical="center" wrapText="1"/>
      <protection locked="0"/>
    </xf>
    <xf numFmtId="3" fontId="14" fillId="0" borderId="289" xfId="0" applyNumberFormat="1" applyFont="1" applyFill="1" applyBorder="1" applyAlignment="1" applyProtection="1">
      <alignment vertical="center" wrapText="1"/>
      <protection locked="0"/>
    </xf>
    <xf numFmtId="3" fontId="14" fillId="0" borderId="280" xfId="0" applyNumberFormat="1" applyFont="1" applyFill="1" applyBorder="1" applyAlignment="1" applyProtection="1">
      <alignment vertical="center" wrapText="1"/>
      <protection locked="0"/>
    </xf>
    <xf numFmtId="3" fontId="14" fillId="6" borderId="393" xfId="0" applyNumberFormat="1" applyFont="1" applyFill="1" applyBorder="1" applyAlignment="1" applyProtection="1">
      <alignment vertical="center" wrapText="1"/>
    </xf>
    <xf numFmtId="3" fontId="14" fillId="27" borderId="393" xfId="0" applyNumberFormat="1" applyFont="1" applyFill="1" applyBorder="1" applyAlignment="1" applyProtection="1">
      <alignment vertical="center" wrapText="1"/>
    </xf>
    <xf numFmtId="3" fontId="14" fillId="0" borderId="405" xfId="0" applyNumberFormat="1" applyFont="1" applyFill="1" applyBorder="1" applyAlignment="1" applyProtection="1">
      <alignment vertical="center"/>
      <protection locked="0"/>
    </xf>
    <xf numFmtId="3" fontId="14" fillId="0" borderId="280" xfId="0" applyNumberFormat="1" applyFont="1" applyFill="1" applyBorder="1" applyAlignment="1" applyProtection="1">
      <alignment vertical="center"/>
      <protection locked="0"/>
    </xf>
    <xf numFmtId="3" fontId="14" fillId="0" borderId="253" xfId="0" applyNumberFormat="1" applyFont="1" applyFill="1" applyBorder="1" applyAlignment="1" applyProtection="1">
      <alignment vertical="center"/>
      <protection locked="0"/>
    </xf>
    <xf numFmtId="3" fontId="14" fillId="0" borderId="288" xfId="0" applyNumberFormat="1" applyFont="1" applyFill="1" applyBorder="1" applyAlignment="1" applyProtection="1">
      <alignment vertical="center"/>
      <protection locked="0"/>
    </xf>
    <xf numFmtId="3" fontId="14" fillId="0" borderId="289" xfId="0" applyNumberFormat="1" applyFont="1" applyFill="1" applyBorder="1" applyAlignment="1" applyProtection="1">
      <alignment vertical="center"/>
      <protection locked="0"/>
    </xf>
    <xf numFmtId="3" fontId="14" fillId="27" borderId="401" xfId="0" applyNumberFormat="1" applyFont="1" applyFill="1" applyBorder="1" applyAlignment="1" applyProtection="1">
      <alignment vertical="center" wrapText="1"/>
    </xf>
    <xf numFmtId="3" fontId="14" fillId="0" borderId="257" xfId="0" applyNumberFormat="1" applyFont="1" applyFill="1" applyBorder="1" applyAlignment="1" applyProtection="1">
      <alignment vertical="center" wrapText="1"/>
      <protection locked="0"/>
    </xf>
    <xf numFmtId="3" fontId="14" fillId="0" borderId="295" xfId="0" applyNumberFormat="1" applyFont="1" applyFill="1" applyBorder="1" applyAlignment="1" applyProtection="1">
      <alignment vertical="center" wrapText="1"/>
      <protection locked="0"/>
    </xf>
    <xf numFmtId="3" fontId="14" fillId="0" borderId="296" xfId="0" applyNumberFormat="1" applyFont="1" applyFill="1" applyBorder="1" applyAlignment="1" applyProtection="1">
      <alignment vertical="center" wrapText="1"/>
      <protection locked="0"/>
    </xf>
    <xf numFmtId="3" fontId="14" fillId="0" borderId="297" xfId="0" applyNumberFormat="1" applyFont="1" applyFill="1" applyBorder="1" applyAlignment="1" applyProtection="1">
      <alignment vertical="center" wrapText="1"/>
      <protection locked="0"/>
    </xf>
    <xf numFmtId="3" fontId="14" fillId="6" borderId="401" xfId="0" applyNumberFormat="1" applyFont="1" applyFill="1" applyBorder="1" applyAlignment="1" applyProtection="1">
      <alignment vertical="center" wrapText="1"/>
    </xf>
    <xf numFmtId="3" fontId="14" fillId="0" borderId="407" xfId="0" applyNumberFormat="1" applyFont="1" applyFill="1" applyBorder="1" applyAlignment="1" applyProtection="1">
      <alignment vertical="center"/>
      <protection locked="0"/>
    </xf>
    <xf numFmtId="3" fontId="14" fillId="0" borderId="297" xfId="0" applyNumberFormat="1" applyFont="1" applyFill="1" applyBorder="1" applyAlignment="1" applyProtection="1">
      <alignment vertical="center"/>
      <protection locked="0"/>
    </xf>
    <xf numFmtId="3" fontId="19" fillId="6" borderId="408" xfId="0" applyNumberFormat="1" applyFont="1" applyFill="1" applyBorder="1" applyAlignment="1" applyProtection="1">
      <alignment vertical="center"/>
    </xf>
    <xf numFmtId="3" fontId="19" fillId="6" borderId="409" xfId="0" applyNumberFormat="1" applyFont="1" applyFill="1" applyBorder="1" applyAlignment="1" applyProtection="1">
      <alignment vertical="center"/>
    </xf>
    <xf numFmtId="3" fontId="19" fillId="6" borderId="410" xfId="0" applyNumberFormat="1" applyFont="1" applyFill="1" applyBorder="1" applyAlignment="1" applyProtection="1">
      <alignment vertical="center"/>
    </xf>
    <xf numFmtId="0" fontId="23" fillId="5" borderId="292" xfId="0" applyFont="1" applyFill="1" applyBorder="1" applyAlignment="1" applyProtection="1">
      <protection locked="0"/>
    </xf>
    <xf numFmtId="0" fontId="15" fillId="0" borderId="293" xfId="0" applyFont="1" applyBorder="1" applyAlignment="1" applyProtection="1">
      <protection locked="0"/>
    </xf>
    <xf numFmtId="44" fontId="3" fillId="3" borderId="411" xfId="0" applyNumberFormat="1" applyFont="1" applyFill="1" applyBorder="1" applyAlignment="1" applyProtection="1">
      <protection locked="0"/>
    </xf>
    <xf numFmtId="0" fontId="3" fillId="3" borderId="412" xfId="0" applyFont="1" applyFill="1" applyBorder="1" applyAlignment="1" applyProtection="1">
      <protection locked="0"/>
    </xf>
    <xf numFmtId="44" fontId="3" fillId="2" borderId="328" xfId="0" applyNumberFormat="1" applyFont="1" applyFill="1" applyBorder="1" applyAlignment="1" applyProtection="1"/>
    <xf numFmtId="0" fontId="15" fillId="3" borderId="250" xfId="0" applyFont="1" applyFill="1" applyBorder="1" applyAlignment="1" applyProtection="1"/>
    <xf numFmtId="44" fontId="3" fillId="3" borderId="250" xfId="0" applyNumberFormat="1" applyFont="1" applyFill="1" applyBorder="1" applyAlignment="1" applyProtection="1">
      <protection locked="0"/>
    </xf>
    <xf numFmtId="0" fontId="3" fillId="3" borderId="251" xfId="0" applyFont="1" applyFill="1" applyBorder="1" applyAlignment="1" applyProtection="1">
      <protection locked="0"/>
    </xf>
    <xf numFmtId="44" fontId="3" fillId="2" borderId="331" xfId="0" applyNumberFormat="1" applyFont="1" applyFill="1" applyBorder="1" applyAlignment="1" applyProtection="1"/>
    <xf numFmtId="0" fontId="3" fillId="3" borderId="413" xfId="0" applyFont="1" applyFill="1" applyBorder="1" applyAlignment="1" applyProtection="1">
      <protection locked="0"/>
    </xf>
    <xf numFmtId="44" fontId="3" fillId="2" borderId="414" xfId="0" applyNumberFormat="1" applyFont="1" applyFill="1" applyBorder="1" applyAlignment="1" applyProtection="1"/>
    <xf numFmtId="0" fontId="15" fillId="3" borderId="415" xfId="0" applyFont="1" applyFill="1" applyBorder="1" applyAlignment="1" applyProtection="1"/>
    <xf numFmtId="44" fontId="3" fillId="3" borderId="337" xfId="0" applyNumberFormat="1" applyFont="1" applyFill="1" applyBorder="1" applyAlignment="1" applyProtection="1">
      <protection locked="0"/>
    </xf>
    <xf numFmtId="0" fontId="3" fillId="0" borderId="286" xfId="0" applyFont="1" applyBorder="1" applyAlignment="1" applyProtection="1">
      <alignment vertical="center"/>
      <protection locked="0"/>
    </xf>
    <xf numFmtId="0" fontId="4" fillId="0" borderId="279" xfId="0" applyFont="1" applyBorder="1" applyAlignment="1" applyProtection="1">
      <alignment vertical="center" wrapText="1"/>
      <protection locked="0"/>
    </xf>
    <xf numFmtId="0" fontId="3" fillId="0" borderId="289" xfId="0" applyFont="1" applyBorder="1" applyAlignment="1" applyProtection="1">
      <alignment vertical="center"/>
      <protection locked="0"/>
    </xf>
    <xf numFmtId="0" fontId="4" fillId="0" borderId="282" xfId="0" applyFont="1" applyBorder="1" applyAlignment="1" applyProtection="1">
      <alignment vertical="center" wrapText="1"/>
      <protection locked="0"/>
    </xf>
    <xf numFmtId="0" fontId="3" fillId="0" borderId="282" xfId="0" applyFont="1" applyBorder="1" applyAlignment="1" applyProtection="1">
      <alignment vertical="center"/>
      <protection locked="0"/>
    </xf>
    <xf numFmtId="14" fontId="3" fillId="0" borderId="289" xfId="0" applyNumberFormat="1" applyFont="1" applyBorder="1" applyAlignment="1" applyProtection="1">
      <alignment vertical="center"/>
      <protection locked="0"/>
    </xf>
    <xf numFmtId="0" fontId="3" fillId="0" borderId="282" xfId="0" applyFont="1" applyBorder="1" applyAlignment="1" applyProtection="1">
      <alignment vertical="center" wrapText="1"/>
      <protection locked="0"/>
    </xf>
    <xf numFmtId="0" fontId="3" fillId="0" borderId="289" xfId="0" applyFont="1" applyFill="1" applyBorder="1" applyAlignment="1" applyProtection="1">
      <alignment vertical="center"/>
      <protection locked="0"/>
    </xf>
    <xf numFmtId="0" fontId="3" fillId="0" borderId="282" xfId="0" applyFont="1" applyFill="1" applyBorder="1" applyAlignment="1" applyProtection="1">
      <alignment vertical="center"/>
      <protection locked="0"/>
    </xf>
    <xf numFmtId="0" fontId="3" fillId="0" borderId="282" xfId="0" applyFont="1" applyFill="1" applyBorder="1" applyAlignment="1" applyProtection="1">
      <alignment vertical="center" wrapText="1"/>
      <protection locked="0"/>
    </xf>
    <xf numFmtId="9" fontId="22" fillId="17" borderId="416" xfId="0" applyNumberFormat="1" applyFont="1" applyFill="1" applyBorder="1" applyAlignment="1" applyProtection="1">
      <alignment vertical="center"/>
    </xf>
    <xf numFmtId="42" fontId="22" fillId="6" borderId="386" xfId="0" applyNumberFormat="1" applyFont="1" applyFill="1" applyBorder="1" applyAlignment="1" applyProtection="1">
      <alignment vertical="center"/>
    </xf>
    <xf numFmtId="42" fontId="22" fillId="0" borderId="417" xfId="0" applyNumberFormat="1" applyFont="1" applyFill="1" applyBorder="1" applyAlignment="1" applyProtection="1">
      <alignment vertical="center"/>
      <protection locked="0"/>
    </xf>
    <xf numFmtId="42" fontId="22" fillId="0" borderId="246" xfId="0" applyNumberFormat="1" applyFont="1" applyFill="1" applyBorder="1" applyAlignment="1" applyProtection="1">
      <alignment vertical="center"/>
      <protection locked="0"/>
    </xf>
    <xf numFmtId="9" fontId="22" fillId="17" borderId="404" xfId="0" applyNumberFormat="1" applyFont="1" applyFill="1" applyBorder="1" applyAlignment="1" applyProtection="1">
      <alignment vertical="center"/>
    </xf>
    <xf numFmtId="42" fontId="22" fillId="6" borderId="388" xfId="0" applyNumberFormat="1" applyFont="1" applyFill="1" applyBorder="1" applyAlignment="1" applyProtection="1">
      <alignment vertical="center"/>
    </xf>
    <xf numFmtId="42" fontId="22" fillId="0" borderId="396" xfId="0" applyNumberFormat="1" applyFont="1" applyFill="1" applyBorder="1" applyAlignment="1" applyProtection="1">
      <alignment vertical="center"/>
      <protection locked="0"/>
    </xf>
    <xf numFmtId="42" fontId="22" fillId="0" borderId="251" xfId="0" applyNumberFormat="1" applyFont="1" applyFill="1" applyBorder="1" applyAlignment="1" applyProtection="1">
      <alignment vertical="center"/>
      <protection locked="0"/>
    </xf>
    <xf numFmtId="9" fontId="22" fillId="17" borderId="418" xfId="0" applyNumberFormat="1" applyFont="1" applyFill="1" applyBorder="1" applyAlignment="1" applyProtection="1">
      <alignment vertical="center"/>
    </xf>
    <xf numFmtId="42" fontId="22" fillId="6" borderId="419" xfId="0" applyNumberFormat="1" applyFont="1" applyFill="1" applyBorder="1" applyAlignment="1" applyProtection="1">
      <alignment vertical="center"/>
    </xf>
    <xf numFmtId="42" fontId="22" fillId="0" borderId="323" xfId="0" applyNumberFormat="1" applyFont="1" applyFill="1" applyBorder="1" applyAlignment="1" applyProtection="1">
      <alignment vertical="center" wrapText="1"/>
      <protection locked="0"/>
    </xf>
    <xf numFmtId="42" fontId="22" fillId="0" borderId="420" xfId="0" applyNumberFormat="1" applyFont="1" applyFill="1" applyBorder="1" applyAlignment="1" applyProtection="1">
      <alignment vertical="center" wrapText="1"/>
      <protection locked="0"/>
    </xf>
    <xf numFmtId="42" fontId="22" fillId="6" borderId="248" xfId="0" applyNumberFormat="1" applyFont="1" applyFill="1" applyBorder="1" applyAlignment="1" applyProtection="1">
      <alignment vertical="center"/>
    </xf>
    <xf numFmtId="42" fontId="22" fillId="0" borderId="279" xfId="0" applyNumberFormat="1" applyFont="1" applyFill="1" applyBorder="1" applyAlignment="1" applyProtection="1">
      <alignment vertical="center"/>
      <protection locked="0"/>
    </xf>
    <xf numFmtId="42" fontId="22" fillId="6" borderId="253" xfId="0" applyNumberFormat="1" applyFont="1" applyFill="1" applyBorder="1" applyAlignment="1" applyProtection="1">
      <alignment vertical="center"/>
    </xf>
    <xf numFmtId="42" fontId="22" fillId="0" borderId="282" xfId="0" applyNumberFormat="1" applyFont="1" applyFill="1" applyBorder="1" applyAlignment="1" applyProtection="1">
      <alignment vertical="center"/>
      <protection locked="0"/>
    </xf>
    <xf numFmtId="42" fontId="22" fillId="6" borderId="324" xfId="0" applyNumberFormat="1" applyFont="1" applyFill="1" applyBorder="1" applyAlignment="1" applyProtection="1">
      <alignment vertical="center" wrapText="1"/>
    </xf>
    <xf numFmtId="42" fontId="22" fillId="0" borderId="421" xfId="0" applyNumberFormat="1" applyFont="1" applyFill="1" applyBorder="1" applyAlignment="1" applyProtection="1">
      <alignment vertical="center" wrapText="1"/>
      <protection locked="0"/>
    </xf>
    <xf numFmtId="42" fontId="22" fillId="12" borderId="285" xfId="0" applyNumberFormat="1" applyFont="1" applyFill="1" applyBorder="1" applyAlignment="1" applyProtection="1">
      <alignment vertical="center"/>
    </xf>
    <xf numFmtId="42" fontId="22" fillId="0" borderId="277" xfId="0" applyNumberFormat="1" applyFont="1" applyFill="1" applyBorder="1" applyAlignment="1" applyProtection="1">
      <alignment vertical="center"/>
      <protection locked="0"/>
    </xf>
    <xf numFmtId="42" fontId="22" fillId="6" borderId="288" xfId="0" applyNumberFormat="1" applyFont="1" applyFill="1" applyBorder="1" applyAlignment="1" applyProtection="1">
      <alignment vertical="center"/>
    </xf>
    <xf numFmtId="42" fontId="22" fillId="0" borderId="280" xfId="0" applyNumberFormat="1" applyFont="1" applyFill="1" applyBorder="1" applyAlignment="1" applyProtection="1">
      <alignment vertical="center"/>
      <protection locked="0"/>
    </xf>
    <xf numFmtId="42" fontId="22" fillId="6" borderId="295" xfId="0" applyNumberFormat="1" applyFont="1" applyFill="1" applyBorder="1" applyAlignment="1" applyProtection="1">
      <alignment vertical="center"/>
    </xf>
    <xf numFmtId="42" fontId="22" fillId="0" borderId="323" xfId="0" applyNumberFormat="1" applyFont="1" applyFill="1" applyBorder="1" applyAlignment="1" applyProtection="1">
      <alignment vertical="center"/>
      <protection locked="0"/>
    </xf>
    <xf numFmtId="42" fontId="22" fillId="0" borderId="400" xfId="0" applyNumberFormat="1" applyFont="1" applyFill="1" applyBorder="1" applyAlignment="1" applyProtection="1">
      <alignment vertical="center"/>
      <protection locked="0"/>
    </xf>
    <xf numFmtId="42" fontId="22" fillId="12" borderId="248" xfId="0" applyNumberFormat="1" applyFont="1" applyFill="1" applyBorder="1" applyAlignment="1" applyProtection="1">
      <alignment vertical="center"/>
    </xf>
    <xf numFmtId="42" fontId="22" fillId="6" borderId="324" xfId="0" applyNumberFormat="1" applyFont="1" applyFill="1" applyBorder="1" applyAlignment="1" applyProtection="1">
      <alignment vertical="center"/>
    </xf>
    <xf numFmtId="42" fontId="22" fillId="0" borderId="421" xfId="0" applyNumberFormat="1" applyFont="1" applyFill="1" applyBorder="1" applyAlignment="1" applyProtection="1">
      <alignment vertical="center"/>
      <protection locked="0"/>
    </xf>
    <xf numFmtId="42" fontId="22" fillId="0" borderId="396" xfId="0" applyNumberFormat="1" applyFont="1" applyFill="1" applyBorder="1" applyAlignment="1" applyProtection="1">
      <alignment vertical="center" wrapText="1"/>
      <protection locked="0"/>
    </xf>
    <xf numFmtId="42" fontId="22" fillId="0" borderId="280" xfId="0" applyNumberFormat="1" applyFont="1" applyFill="1" applyBorder="1" applyAlignment="1" applyProtection="1">
      <alignment vertical="center" wrapText="1"/>
      <protection locked="0"/>
    </xf>
    <xf numFmtId="42" fontId="22" fillId="0" borderId="400" xfId="0" applyNumberFormat="1" applyFont="1" applyFill="1" applyBorder="1" applyAlignment="1" applyProtection="1">
      <alignment vertical="center" wrapText="1"/>
      <protection locked="0"/>
    </xf>
    <xf numFmtId="42" fontId="22" fillId="0" borderId="282" xfId="0" applyNumberFormat="1" applyFont="1" applyFill="1" applyBorder="1" applyAlignment="1" applyProtection="1">
      <alignment vertical="center" wrapText="1"/>
      <protection locked="0"/>
    </xf>
    <xf numFmtId="42" fontId="22" fillId="6" borderId="305" xfId="0" applyNumberFormat="1" applyFont="1" applyFill="1" applyBorder="1" applyAlignment="1" applyProtection="1">
      <alignment vertical="center"/>
    </xf>
    <xf numFmtId="42" fontId="22" fillId="12" borderId="288" xfId="0" applyNumberFormat="1" applyFont="1" applyFill="1" applyBorder="1" applyAlignment="1" applyProtection="1">
      <alignment vertical="center"/>
    </xf>
    <xf numFmtId="9" fontId="22" fillId="17" borderId="406" xfId="0" applyNumberFormat="1" applyFont="1" applyFill="1" applyBorder="1" applyAlignment="1" applyProtection="1">
      <alignment vertical="center"/>
    </xf>
    <xf numFmtId="42" fontId="22" fillId="12" borderId="305" xfId="0" applyNumberFormat="1" applyFont="1" applyFill="1" applyBorder="1" applyAlignment="1" applyProtection="1">
      <alignment vertical="center"/>
    </xf>
    <xf numFmtId="42" fontId="22" fillId="12" borderId="253" xfId="0" applyNumberFormat="1" applyFont="1" applyFill="1" applyBorder="1" applyAlignment="1" applyProtection="1">
      <alignment vertical="center"/>
    </xf>
    <xf numFmtId="42" fontId="22" fillId="12" borderId="77" xfId="0" applyNumberFormat="1" applyFont="1" applyFill="1" applyBorder="1" applyAlignment="1" applyProtection="1">
      <alignment vertical="center"/>
    </xf>
    <xf numFmtId="42" fontId="22" fillId="12" borderId="324" xfId="0" applyNumberFormat="1" applyFont="1" applyFill="1" applyBorder="1" applyAlignment="1" applyProtection="1">
      <alignment vertical="center"/>
    </xf>
    <xf numFmtId="44" fontId="22" fillId="6" borderId="245" xfId="0" applyNumberFormat="1" applyFont="1" applyFill="1" applyBorder="1" applyAlignment="1" applyProtection="1">
      <alignment vertical="center"/>
    </xf>
    <xf numFmtId="44" fontId="22" fillId="6" borderId="250" xfId="0" applyNumberFormat="1" applyFont="1" applyFill="1" applyBorder="1" applyAlignment="1" applyProtection="1">
      <alignment vertical="center"/>
    </xf>
    <xf numFmtId="44" fontId="22" fillId="6" borderId="354" xfId="0" applyNumberFormat="1" applyFont="1" applyFill="1" applyBorder="1" applyAlignment="1" applyProtection="1">
      <alignment vertical="center"/>
    </xf>
    <xf numFmtId="42" fontId="15" fillId="0" borderId="423" xfId="0" applyNumberFormat="1" applyFont="1" applyFill="1" applyBorder="1" applyAlignment="1" applyProtection="1">
      <alignment vertical="center"/>
      <protection locked="0"/>
    </xf>
    <xf numFmtId="42" fontId="15" fillId="6" borderId="250" xfId="0" applyNumberFormat="1" applyFont="1" applyFill="1" applyBorder="1" applyAlignment="1" applyProtection="1">
      <alignment vertical="center"/>
    </xf>
    <xf numFmtId="42" fontId="15" fillId="0" borderId="396" xfId="0" applyNumberFormat="1" applyFont="1" applyFill="1" applyBorder="1" applyAlignment="1" applyProtection="1">
      <alignment vertical="center"/>
      <protection locked="0"/>
    </xf>
    <xf numFmtId="42" fontId="15" fillId="6" borderId="415" xfId="0" applyNumberFormat="1" applyFont="1" applyFill="1" applyBorder="1" applyAlignment="1" applyProtection="1">
      <alignment vertical="center"/>
    </xf>
    <xf numFmtId="42" fontId="15" fillId="0" borderId="323" xfId="0" applyNumberFormat="1" applyFont="1" applyFill="1" applyBorder="1" applyAlignment="1" applyProtection="1">
      <alignment vertical="center" wrapText="1"/>
      <protection locked="0"/>
    </xf>
    <xf numFmtId="42" fontId="15" fillId="6" borderId="245" xfId="0" applyNumberFormat="1" applyFont="1" applyFill="1" applyBorder="1" applyAlignment="1" applyProtection="1">
      <alignment vertical="center"/>
    </xf>
    <xf numFmtId="42" fontId="15" fillId="0" borderId="417" xfId="0" applyNumberFormat="1" applyFont="1" applyFill="1" applyBorder="1" applyAlignment="1" applyProtection="1">
      <alignment vertical="center"/>
      <protection locked="0"/>
    </xf>
    <xf numFmtId="42" fontId="15" fillId="0" borderId="349" xfId="0" applyNumberFormat="1" applyFont="1" applyFill="1" applyBorder="1" applyAlignment="1" applyProtection="1">
      <alignment vertical="center"/>
      <protection locked="0"/>
    </xf>
    <xf numFmtId="42" fontId="15" fillId="0" borderId="282" xfId="0" applyNumberFormat="1" applyFont="1" applyFill="1" applyBorder="1" applyAlignment="1" applyProtection="1">
      <alignment vertical="center"/>
      <protection locked="0"/>
    </xf>
    <xf numFmtId="42" fontId="15" fillId="0" borderId="424" xfId="0" applyNumberFormat="1" applyFont="1" applyFill="1" applyBorder="1" applyAlignment="1" applyProtection="1">
      <alignment vertical="center"/>
      <protection locked="0"/>
    </xf>
    <xf numFmtId="42" fontId="15" fillId="0" borderId="318" xfId="0" applyNumberFormat="1" applyFont="1" applyFill="1" applyBorder="1" applyAlignment="1" applyProtection="1">
      <alignment vertical="center"/>
      <protection locked="0"/>
    </xf>
    <xf numFmtId="42" fontId="15" fillId="0" borderId="316" xfId="0" applyNumberFormat="1" applyFont="1" applyFill="1" applyBorder="1" applyAlignment="1" applyProtection="1">
      <alignment vertical="center"/>
      <protection locked="0"/>
    </xf>
    <xf numFmtId="42" fontId="15" fillId="0" borderId="323" xfId="0" applyNumberFormat="1" applyFont="1" applyFill="1" applyBorder="1" applyAlignment="1" applyProtection="1">
      <alignment vertical="center"/>
      <protection locked="0"/>
    </xf>
    <xf numFmtId="42" fontId="15" fillId="0" borderId="421" xfId="0" applyNumberFormat="1" applyFont="1" applyBorder="1" applyAlignment="1" applyProtection="1">
      <alignment vertical="center" wrapText="1"/>
      <protection locked="0"/>
    </xf>
    <xf numFmtId="42" fontId="15" fillId="0" borderId="282" xfId="0" applyNumberFormat="1" applyFont="1" applyFill="1" applyBorder="1" applyAlignment="1" applyProtection="1">
      <alignment vertical="center" wrapText="1"/>
      <protection locked="0"/>
    </xf>
    <xf numFmtId="42" fontId="15" fillId="0" borderId="421" xfId="0" applyNumberFormat="1" applyFont="1" applyFill="1" applyBorder="1" applyAlignment="1" applyProtection="1">
      <alignment vertical="center" wrapText="1"/>
      <protection locked="0"/>
    </xf>
    <xf numFmtId="42" fontId="15" fillId="0" borderId="279" xfId="0" applyNumberFormat="1" applyFont="1" applyFill="1" applyBorder="1" applyAlignment="1" applyProtection="1">
      <alignment vertical="center"/>
      <protection locked="0"/>
    </xf>
    <xf numFmtId="42" fontId="15" fillId="6" borderId="404" xfId="0" applyNumberFormat="1" applyFont="1" applyFill="1" applyBorder="1" applyAlignment="1" applyProtection="1">
      <alignment vertical="center"/>
    </xf>
    <xf numFmtId="42" fontId="15" fillId="6" borderId="406" xfId="0" applyNumberFormat="1" applyFont="1" applyFill="1" applyBorder="1" applyAlignment="1" applyProtection="1">
      <alignment vertical="center"/>
    </xf>
    <xf numFmtId="42" fontId="15" fillId="6" borderId="416" xfId="0" applyNumberFormat="1" applyFont="1" applyFill="1" applyBorder="1" applyAlignment="1" applyProtection="1">
      <alignment vertical="center"/>
    </xf>
    <xf numFmtId="42" fontId="53" fillId="18" borderId="316" xfId="0" applyNumberFormat="1" applyFont="1" applyFill="1" applyBorder="1" applyProtection="1"/>
    <xf numFmtId="42" fontId="53" fillId="0" borderId="398" xfId="0" applyNumberFormat="1" applyFont="1" applyFill="1" applyBorder="1" applyProtection="1">
      <protection locked="0"/>
    </xf>
    <xf numFmtId="42" fontId="53" fillId="0" borderId="282" xfId="0" applyNumberFormat="1" applyFont="1" applyFill="1" applyBorder="1" applyProtection="1">
      <protection locked="0"/>
    </xf>
    <xf numFmtId="42" fontId="53" fillId="0" borderId="425" xfId="0" applyNumberFormat="1" applyFont="1" applyFill="1" applyBorder="1" applyProtection="1">
      <protection locked="0"/>
    </xf>
    <xf numFmtId="42" fontId="53" fillId="0" borderId="421" xfId="0" applyNumberFormat="1" applyFont="1" applyFill="1" applyBorder="1" applyProtection="1">
      <protection locked="0"/>
    </xf>
    <xf numFmtId="42" fontId="53" fillId="6" borderId="369" xfId="0" applyNumberFormat="1" applyFont="1" applyFill="1" applyBorder="1" applyProtection="1"/>
    <xf numFmtId="42" fontId="53" fillId="6" borderId="279" xfId="0" applyNumberFormat="1" applyFont="1" applyFill="1" applyBorder="1" applyProtection="1"/>
    <xf numFmtId="9" fontId="53" fillId="6" borderId="398" xfId="0" applyNumberFormat="1" applyFont="1" applyFill="1" applyBorder="1" applyProtection="1"/>
    <xf numFmtId="9" fontId="53" fillId="6" borderId="282" xfId="0" applyNumberFormat="1" applyFont="1" applyFill="1" applyBorder="1" applyProtection="1"/>
    <xf numFmtId="42" fontId="53" fillId="6" borderId="261" xfId="0" applyNumberFormat="1" applyFont="1" applyFill="1" applyBorder="1" applyProtection="1"/>
    <xf numFmtId="42" fontId="53" fillId="6" borderId="426" xfId="0" applyNumberFormat="1" applyFont="1" applyFill="1" applyBorder="1" applyProtection="1"/>
    <xf numFmtId="167" fontId="53" fillId="0" borderId="378" xfId="0" applyNumberFormat="1" applyFont="1" applyFill="1" applyBorder="1" applyProtection="1">
      <protection locked="0"/>
    </xf>
    <xf numFmtId="0" fontId="15" fillId="0" borderId="369" xfId="0" applyFont="1" applyFill="1" applyBorder="1" applyProtection="1">
      <protection locked="0"/>
    </xf>
    <xf numFmtId="44" fontId="15" fillId="6" borderId="277" xfId="0" applyNumberFormat="1" applyFont="1" applyFill="1" applyBorder="1" applyProtection="1"/>
    <xf numFmtId="0" fontId="15" fillId="0" borderId="287" xfId="0" applyFont="1" applyFill="1" applyBorder="1" applyProtection="1">
      <protection locked="0"/>
    </xf>
    <xf numFmtId="0" fontId="15" fillId="0" borderId="398" xfId="0" applyFont="1" applyFill="1" applyBorder="1" applyProtection="1">
      <protection locked="0"/>
    </xf>
    <xf numFmtId="44" fontId="15" fillId="6" borderId="280" xfId="0" applyNumberFormat="1" applyFont="1" applyFill="1" applyBorder="1" applyProtection="1"/>
    <xf numFmtId="0" fontId="15" fillId="0" borderId="290" xfId="0" applyFont="1" applyFill="1" applyBorder="1" applyProtection="1">
      <protection locked="0"/>
    </xf>
    <xf numFmtId="0" fontId="15" fillId="0" borderId="425" xfId="0" applyFont="1" applyFill="1" applyBorder="1" applyProtection="1">
      <protection locked="0"/>
    </xf>
    <xf numFmtId="44" fontId="15" fillId="6" borderId="400" xfId="0" applyNumberFormat="1" applyFont="1" applyFill="1" applyBorder="1" applyProtection="1"/>
    <xf numFmtId="0" fontId="15" fillId="0" borderId="427" xfId="0" applyFont="1" applyFill="1" applyBorder="1" applyProtection="1">
      <protection locked="0"/>
    </xf>
    <xf numFmtId="0" fontId="15" fillId="0" borderId="304" xfId="0" applyFont="1" applyFill="1" applyBorder="1" applyProtection="1">
      <protection locked="0"/>
    </xf>
    <xf numFmtId="0" fontId="15" fillId="0" borderId="428" xfId="0" applyFont="1" applyFill="1" applyBorder="1" applyProtection="1">
      <protection locked="0"/>
    </xf>
    <xf numFmtId="44" fontId="15" fillId="6" borderId="317" xfId="0" applyNumberFormat="1" applyFont="1" applyFill="1" applyBorder="1" applyProtection="1"/>
    <xf numFmtId="0" fontId="15" fillId="0" borderId="314" xfId="0" applyFont="1" applyFill="1" applyBorder="1" applyProtection="1">
      <protection locked="0"/>
    </xf>
    <xf numFmtId="44" fontId="15" fillId="6" borderId="302" xfId="0" applyNumberFormat="1" applyFont="1" applyFill="1" applyBorder="1" applyProtection="1"/>
    <xf numFmtId="42" fontId="15" fillId="0" borderId="290" xfId="0" applyNumberFormat="1" applyFont="1" applyFill="1" applyBorder="1" applyAlignment="1" applyProtection="1">
      <alignment vertical="center"/>
      <protection locked="0"/>
    </xf>
    <xf numFmtId="165" fontId="15" fillId="0" borderId="66" xfId="0" applyNumberFormat="1" applyFont="1" applyFill="1" applyBorder="1" applyProtection="1"/>
    <xf numFmtId="0" fontId="15" fillId="0" borderId="261" xfId="0" applyFont="1" applyFill="1" applyBorder="1" applyProtection="1">
      <protection locked="0"/>
    </xf>
    <xf numFmtId="0" fontId="15" fillId="0" borderId="258" xfId="0" applyFont="1" applyFill="1" applyBorder="1" applyProtection="1">
      <protection locked="0"/>
    </xf>
    <xf numFmtId="0" fontId="15" fillId="0" borderId="378" xfId="0" applyFont="1" applyFill="1" applyBorder="1" applyProtection="1">
      <protection locked="0"/>
    </xf>
    <xf numFmtId="0" fontId="15" fillId="5" borderId="285" xfId="0" applyFont="1" applyFill="1" applyBorder="1" applyAlignment="1" applyProtection="1">
      <alignment horizontal="center" wrapText="1"/>
      <protection locked="0"/>
    </xf>
    <xf numFmtId="0" fontId="15" fillId="5" borderId="434" xfId="0" applyFont="1" applyFill="1" applyBorder="1" applyAlignment="1" applyProtection="1">
      <alignment horizontal="center" wrapText="1"/>
      <protection locked="0"/>
    </xf>
    <xf numFmtId="0" fontId="15" fillId="0" borderId="383" xfId="0" applyFont="1" applyBorder="1" applyAlignment="1" applyProtection="1">
      <alignment horizontal="center" wrapText="1"/>
      <protection locked="0"/>
    </xf>
    <xf numFmtId="0" fontId="15" fillId="0" borderId="383" xfId="0" applyFont="1" applyBorder="1" applyAlignment="1" applyProtection="1">
      <alignment horizontal="left" wrapText="1"/>
      <protection locked="0"/>
    </xf>
    <xf numFmtId="49" fontId="15" fillId="0" borderId="383" xfId="0" applyNumberFormat="1" applyFont="1" applyFill="1" applyBorder="1" applyAlignment="1" applyProtection="1">
      <alignment horizontal="center" wrapText="1"/>
      <protection locked="0"/>
    </xf>
    <xf numFmtId="49" fontId="15" fillId="0" borderId="349" xfId="0" applyNumberFormat="1" applyFont="1" applyFill="1" applyBorder="1" applyAlignment="1" applyProtection="1">
      <alignment horizontal="center" wrapText="1"/>
      <protection locked="0"/>
    </xf>
    <xf numFmtId="0" fontId="15" fillId="5" borderId="288" xfId="0" applyFont="1" applyFill="1" applyBorder="1" applyAlignment="1" applyProtection="1">
      <alignment horizontal="center" wrapText="1"/>
      <protection locked="0"/>
    </xf>
    <xf numFmtId="0" fontId="15" fillId="5" borderId="435" xfId="0" applyFont="1" applyFill="1" applyBorder="1" applyAlignment="1" applyProtection="1">
      <alignment horizontal="center" wrapText="1"/>
      <protection locked="0"/>
    </xf>
    <xf numFmtId="0" fontId="15" fillId="0" borderId="330" xfId="0" applyFont="1" applyBorder="1" applyAlignment="1" applyProtection="1">
      <alignment horizontal="center" wrapText="1"/>
      <protection locked="0"/>
    </xf>
    <xf numFmtId="0" fontId="15" fillId="0" borderId="330" xfId="0" applyFont="1" applyBorder="1" applyAlignment="1" applyProtection="1">
      <alignment horizontal="left" wrapText="1"/>
      <protection locked="0"/>
    </xf>
    <xf numFmtId="49" fontId="15" fillId="0" borderId="330" xfId="0" applyNumberFormat="1" applyFont="1" applyFill="1" applyBorder="1" applyAlignment="1" applyProtection="1">
      <alignment horizontal="center" wrapText="1"/>
      <protection locked="0"/>
    </xf>
    <xf numFmtId="49" fontId="15" fillId="0" borderId="331" xfId="0" applyNumberFormat="1" applyFont="1" applyFill="1" applyBorder="1" applyAlignment="1" applyProtection="1">
      <alignment horizontal="center" wrapText="1"/>
      <protection locked="0"/>
    </xf>
    <xf numFmtId="0" fontId="15" fillId="0" borderId="330" xfId="0" applyFont="1" applyFill="1" applyBorder="1" applyAlignment="1" applyProtection="1">
      <alignment horizontal="center" wrapText="1"/>
      <protection locked="0"/>
    </xf>
    <xf numFmtId="49" fontId="15" fillId="0" borderId="361" xfId="0" applyNumberFormat="1" applyFont="1" applyFill="1" applyBorder="1" applyAlignment="1" applyProtection="1">
      <alignment horizontal="center" wrapText="1"/>
      <protection locked="0"/>
    </xf>
    <xf numFmtId="0" fontId="15" fillId="0" borderId="383" xfId="0" applyFont="1" applyBorder="1" applyAlignment="1" applyProtection="1">
      <alignment wrapText="1"/>
      <protection locked="0"/>
    </xf>
    <xf numFmtId="0" fontId="15" fillId="0" borderId="330" xfId="0" applyFont="1" applyBorder="1" applyAlignment="1" applyProtection="1">
      <alignment wrapText="1"/>
      <protection locked="0"/>
    </xf>
    <xf numFmtId="0" fontId="15" fillId="0" borderId="330" xfId="0" applyFont="1" applyFill="1" applyBorder="1" applyAlignment="1" applyProtection="1">
      <alignment wrapText="1"/>
      <protection locked="0"/>
    </xf>
    <xf numFmtId="0" fontId="15" fillId="5" borderId="245" xfId="0" applyFont="1" applyFill="1" applyBorder="1" applyAlignment="1" applyProtection="1">
      <alignment wrapText="1"/>
      <protection locked="0"/>
    </xf>
    <xf numFmtId="0" fontId="15" fillId="5" borderId="250" xfId="0" applyFont="1" applyFill="1" applyBorder="1" applyAlignment="1" applyProtection="1">
      <alignment wrapText="1"/>
      <protection locked="0"/>
    </xf>
    <xf numFmtId="0" fontId="15" fillId="5" borderId="245" xfId="0" applyFont="1" applyFill="1" applyBorder="1" applyAlignment="1" applyProtection="1">
      <alignment horizontal="left"/>
      <protection locked="0"/>
    </xf>
    <xf numFmtId="0" fontId="15" fillId="5" borderId="250" xfId="0" applyFont="1" applyFill="1" applyBorder="1" applyAlignment="1" applyProtection="1">
      <alignment horizontal="left"/>
      <protection locked="0"/>
    </xf>
    <xf numFmtId="0" fontId="42" fillId="16" borderId="236" xfId="0" applyFont="1" applyFill="1" applyBorder="1" applyAlignment="1" applyProtection="1">
      <alignment horizontal="center" vertical="center" wrapText="1"/>
    </xf>
    <xf numFmtId="0" fontId="0" fillId="0" borderId="383" xfId="0" applyFont="1" applyBorder="1" applyProtection="1">
      <protection locked="0"/>
    </xf>
    <xf numFmtId="0" fontId="0" fillId="0" borderId="330" xfId="0" applyFont="1" applyBorder="1" applyProtection="1">
      <protection locked="0"/>
    </xf>
    <xf numFmtId="0" fontId="15" fillId="0" borderId="245" xfId="0" applyFont="1" applyBorder="1" applyAlignment="1" applyProtection="1">
      <protection locked="0"/>
    </xf>
    <xf numFmtId="0" fontId="15" fillId="0" borderId="250" xfId="0" applyFont="1" applyBorder="1" applyAlignment="1" applyProtection="1">
      <protection locked="0"/>
    </xf>
    <xf numFmtId="0" fontId="15" fillId="0" borderId="285" xfId="0" applyFont="1" applyFill="1" applyBorder="1" applyAlignment="1" applyProtection="1">
      <alignment horizontal="center" wrapText="1"/>
      <protection locked="0"/>
    </xf>
    <xf numFmtId="0" fontId="15" fillId="0" borderId="286" xfId="0" applyFont="1" applyFill="1" applyBorder="1" applyAlignment="1" applyProtection="1">
      <alignment horizontal="center" wrapText="1"/>
      <protection locked="0"/>
    </xf>
    <xf numFmtId="0" fontId="15" fillId="0" borderId="288" xfId="0" applyFont="1" applyFill="1" applyBorder="1" applyAlignment="1" applyProtection="1">
      <protection locked="0"/>
    </xf>
    <xf numFmtId="0" fontId="15" fillId="0" borderId="289" xfId="0" applyFont="1" applyFill="1" applyBorder="1" applyAlignment="1" applyProtection="1">
      <alignment horizontal="center" wrapText="1"/>
      <protection locked="0"/>
    </xf>
    <xf numFmtId="0" fontId="15" fillId="0" borderId="437" xfId="0" applyFont="1" applyBorder="1" applyAlignment="1" applyProtection="1">
      <alignment horizontal="center" wrapText="1"/>
      <protection locked="0"/>
    </xf>
    <xf numFmtId="49" fontId="15" fillId="0" borderId="348" xfId="0" applyNumberFormat="1" applyFont="1" applyFill="1" applyBorder="1" applyAlignment="1" applyProtection="1">
      <alignment horizontal="center" wrapText="1"/>
      <protection locked="0"/>
    </xf>
    <xf numFmtId="0" fontId="15" fillId="0" borderId="438" xfId="0" applyFont="1" applyBorder="1" applyAlignment="1" applyProtection="1">
      <alignment horizontal="center" wrapText="1"/>
      <protection locked="0"/>
    </xf>
    <xf numFmtId="49" fontId="15" fillId="0" borderId="353" xfId="0" applyNumberFormat="1" applyFont="1" applyFill="1" applyBorder="1" applyAlignment="1" applyProtection="1">
      <alignment horizontal="center" wrapText="1"/>
      <protection locked="0"/>
    </xf>
    <xf numFmtId="0" fontId="15" fillId="0" borderId="439" xfId="0" applyFont="1" applyBorder="1" applyAlignment="1" applyProtection="1">
      <alignment horizontal="center" wrapText="1"/>
      <protection locked="0"/>
    </xf>
    <xf numFmtId="49" fontId="15" fillId="0" borderId="360" xfId="0" applyNumberFormat="1" applyFont="1" applyFill="1" applyBorder="1" applyAlignment="1" applyProtection="1">
      <alignment horizontal="center" wrapText="1"/>
      <protection locked="0"/>
    </xf>
    <xf numFmtId="49" fontId="15" fillId="0" borderId="348" xfId="0" applyNumberFormat="1" applyFont="1" applyFill="1" applyBorder="1" applyAlignment="1" applyProtection="1">
      <alignment horizontal="left" wrapText="1"/>
      <protection locked="0"/>
    </xf>
    <xf numFmtId="49" fontId="15" fillId="0" borderId="353" xfId="0" applyNumberFormat="1" applyFont="1" applyFill="1" applyBorder="1" applyAlignment="1" applyProtection="1">
      <alignment horizontal="left" wrapText="1"/>
      <protection locked="0"/>
    </xf>
    <xf numFmtId="49" fontId="15" fillId="0" borderId="360" xfId="0" applyNumberFormat="1" applyFont="1" applyFill="1" applyBorder="1" applyAlignment="1" applyProtection="1">
      <alignment horizontal="left" wrapText="1"/>
      <protection locked="0"/>
    </xf>
    <xf numFmtId="49" fontId="15" fillId="0" borderId="383" xfId="0" applyNumberFormat="1" applyFont="1" applyFill="1" applyBorder="1" applyAlignment="1" applyProtection="1">
      <alignment horizontal="left" wrapText="1"/>
      <protection locked="0"/>
    </xf>
    <xf numFmtId="49" fontId="15" fillId="0" borderId="330" xfId="0" applyNumberFormat="1" applyFont="1" applyFill="1" applyBorder="1" applyAlignment="1" applyProtection="1">
      <alignment horizontal="left" wrapText="1"/>
      <protection locked="0"/>
    </xf>
    <xf numFmtId="49" fontId="15" fillId="0" borderId="246" xfId="0" applyNumberFormat="1" applyFont="1" applyFill="1" applyBorder="1" applyAlignment="1" applyProtection="1">
      <alignment horizontal="center" wrapText="1"/>
      <protection locked="0"/>
    </xf>
    <xf numFmtId="49" fontId="15" fillId="0" borderId="251" xfId="0" applyNumberFormat="1" applyFont="1" applyFill="1" applyBorder="1" applyAlignment="1" applyProtection="1">
      <alignment horizontal="center" wrapText="1"/>
      <protection locked="0"/>
    </xf>
    <xf numFmtId="0" fontId="0" fillId="0" borderId="19" xfId="0" applyBorder="1"/>
    <xf numFmtId="0" fontId="15" fillId="5" borderId="285" xfId="0" applyFont="1" applyFill="1" applyBorder="1" applyAlignment="1" applyProtection="1">
      <alignment horizontal="left" wrapText="1"/>
      <protection locked="0"/>
    </xf>
    <xf numFmtId="0" fontId="15" fillId="5" borderId="434" xfId="0" applyFont="1" applyFill="1" applyBorder="1" applyAlignment="1" applyProtection="1">
      <alignment horizontal="left" wrapText="1"/>
      <protection locked="0"/>
    </xf>
    <xf numFmtId="0" fontId="15" fillId="5" borderId="288" xfId="0" applyFont="1" applyFill="1" applyBorder="1" applyAlignment="1" applyProtection="1">
      <alignment horizontal="left" wrapText="1"/>
      <protection locked="0"/>
    </xf>
    <xf numFmtId="0" fontId="15" fillId="5" borderId="435" xfId="0" applyFont="1" applyFill="1" applyBorder="1" applyAlignment="1" applyProtection="1">
      <alignment horizontal="left" wrapText="1"/>
      <protection locked="0"/>
    </xf>
    <xf numFmtId="0" fontId="15" fillId="5" borderId="255" xfId="0" applyFont="1" applyFill="1" applyBorder="1" applyAlignment="1" applyProtection="1">
      <alignment horizontal="left"/>
      <protection locked="0"/>
    </xf>
    <xf numFmtId="0" fontId="15" fillId="5" borderId="295" xfId="0" applyFont="1" applyFill="1" applyBorder="1" applyAlignment="1" applyProtection="1">
      <alignment horizontal="center" wrapText="1"/>
      <protection locked="0"/>
    </xf>
    <xf numFmtId="0" fontId="15" fillId="5" borderId="440" xfId="0" applyFont="1" applyFill="1" applyBorder="1" applyAlignment="1" applyProtection="1">
      <alignment horizontal="center" wrapText="1"/>
      <protection locked="0"/>
    </xf>
    <xf numFmtId="0" fontId="15" fillId="0" borderId="441" xfId="0" applyFont="1" applyFill="1" applyBorder="1" applyAlignment="1" applyProtection="1">
      <alignment wrapText="1"/>
      <protection locked="0"/>
    </xf>
    <xf numFmtId="0" fontId="15" fillId="0" borderId="441" xfId="0" applyFont="1" applyBorder="1" applyAlignment="1" applyProtection="1">
      <alignment horizontal="left" wrapText="1"/>
      <protection locked="0"/>
    </xf>
    <xf numFmtId="49" fontId="15" fillId="0" borderId="441" xfId="0" applyNumberFormat="1" applyFont="1" applyFill="1" applyBorder="1" applyAlignment="1" applyProtection="1">
      <alignment horizontal="center" wrapText="1"/>
      <protection locked="0"/>
    </xf>
    <xf numFmtId="49" fontId="15" fillId="0" borderId="441" xfId="0" applyNumberFormat="1" applyFont="1" applyFill="1" applyBorder="1" applyAlignment="1" applyProtection="1">
      <alignment horizontal="left" wrapText="1"/>
      <protection locked="0"/>
    </xf>
    <xf numFmtId="49" fontId="15" fillId="0" borderId="256" xfId="0" applyNumberFormat="1" applyFont="1" applyFill="1" applyBorder="1" applyAlignment="1" applyProtection="1">
      <alignment horizontal="center" wrapText="1"/>
      <protection locked="0"/>
    </xf>
    <xf numFmtId="49" fontId="15" fillId="0" borderId="384" xfId="0" applyNumberFormat="1" applyFont="1" applyFill="1" applyBorder="1" applyAlignment="1" applyProtection="1">
      <alignment horizontal="center" wrapText="1"/>
      <protection locked="0"/>
    </xf>
    <xf numFmtId="0" fontId="15" fillId="5" borderId="255" xfId="0" applyFont="1" applyFill="1" applyBorder="1" applyAlignment="1" applyProtection="1">
      <alignment wrapText="1"/>
      <protection locked="0"/>
    </xf>
    <xf numFmtId="0" fontId="15" fillId="5" borderId="295" xfId="0" applyFont="1" applyFill="1" applyBorder="1" applyAlignment="1" applyProtection="1">
      <alignment horizontal="left" wrapText="1"/>
      <protection locked="0"/>
    </xf>
    <xf numFmtId="0" fontId="15" fillId="5" borderId="440" xfId="0" applyFont="1" applyFill="1" applyBorder="1" applyAlignment="1" applyProtection="1">
      <alignment horizontal="left" wrapText="1"/>
      <protection locked="0"/>
    </xf>
    <xf numFmtId="0" fontId="15" fillId="0" borderId="441" xfId="0" applyFont="1" applyFill="1" applyBorder="1" applyAlignment="1" applyProtection="1">
      <alignment horizontal="center" wrapText="1"/>
      <protection locked="0"/>
    </xf>
    <xf numFmtId="0" fontId="43" fillId="6" borderId="234" xfId="0" applyFont="1" applyFill="1" applyBorder="1" applyAlignment="1" applyProtection="1">
      <alignment vertical="center"/>
    </xf>
    <xf numFmtId="0" fontId="0" fillId="0" borderId="4" xfId="0" applyFill="1" applyBorder="1"/>
    <xf numFmtId="0" fontId="15" fillId="0" borderId="255" xfId="0" applyFont="1" applyFill="1" applyBorder="1" applyAlignment="1" applyProtection="1">
      <protection locked="0"/>
    </xf>
    <xf numFmtId="0" fontId="15" fillId="0" borderId="295" xfId="0" applyFont="1" applyFill="1" applyBorder="1" applyAlignment="1" applyProtection="1">
      <protection locked="0"/>
    </xf>
    <xf numFmtId="0" fontId="15" fillId="0" borderId="296" xfId="0" applyFont="1" applyFill="1" applyBorder="1" applyAlignment="1" applyProtection="1">
      <alignment horizontal="center" wrapText="1"/>
      <protection locked="0"/>
    </xf>
    <xf numFmtId="0" fontId="3" fillId="0" borderId="289" xfId="0" applyFont="1" applyBorder="1" applyAlignment="1" applyProtection="1">
      <alignment vertical="center" wrapText="1"/>
      <protection locked="0"/>
    </xf>
    <xf numFmtId="0" fontId="3" fillId="0" borderId="289" xfId="0" applyFont="1" applyBorder="1" applyAlignment="1" applyProtection="1">
      <alignment vertical="center"/>
      <protection locked="0"/>
    </xf>
    <xf numFmtId="0" fontId="0" fillId="5" borderId="289" xfId="0" applyFont="1" applyFill="1" applyBorder="1" applyAlignment="1" applyProtection="1">
      <protection locked="0"/>
    </xf>
    <xf numFmtId="0" fontId="15" fillId="0" borderId="280" xfId="0" applyFont="1" applyBorder="1" applyAlignment="1" applyProtection="1">
      <protection locked="0"/>
    </xf>
    <xf numFmtId="0" fontId="69" fillId="0" borderId="79" xfId="0" applyFont="1" applyBorder="1" applyAlignment="1">
      <alignment vertical="center"/>
    </xf>
    <xf numFmtId="0" fontId="0" fillId="0" borderId="0" xfId="0" applyFont="1" applyFill="1" applyAlignment="1" applyProtection="1"/>
    <xf numFmtId="0" fontId="15" fillId="0" borderId="434" xfId="0" applyFont="1" applyFill="1" applyBorder="1" applyAlignment="1" applyProtection="1">
      <alignment wrapText="1"/>
      <protection locked="0"/>
    </xf>
    <xf numFmtId="0" fontId="15" fillId="0" borderId="435" xfId="0" applyFont="1" applyFill="1" applyBorder="1" applyProtection="1">
      <protection locked="0"/>
    </xf>
    <xf numFmtId="166" fontId="50" fillId="0" borderId="0" xfId="0" applyNumberFormat="1" applyFont="1" applyFill="1" applyBorder="1" applyAlignment="1" applyProtection="1">
      <alignment horizontal="center"/>
    </xf>
    <xf numFmtId="166" fontId="14" fillId="0" borderId="0" xfId="0" applyNumberFormat="1" applyFont="1" applyFill="1" applyBorder="1" applyAlignment="1" applyProtection="1">
      <alignment horizontal="right"/>
    </xf>
    <xf numFmtId="0" fontId="15" fillId="0" borderId="255" xfId="0" applyFont="1" applyFill="1" applyBorder="1" applyProtection="1">
      <protection locked="0"/>
    </xf>
    <xf numFmtId="9" fontId="15" fillId="0" borderId="441" xfId="0" applyNumberFormat="1" applyFont="1" applyFill="1" applyBorder="1" applyAlignment="1" applyProtection="1">
      <alignment horizontal="right" wrapText="1"/>
      <protection locked="0"/>
    </xf>
    <xf numFmtId="0" fontId="15" fillId="0" borderId="440" xfId="0" applyFont="1" applyFill="1" applyBorder="1" applyProtection="1">
      <protection locked="0"/>
    </xf>
    <xf numFmtId="0" fontId="14" fillId="0" borderId="403" xfId="0" applyFont="1" applyFill="1" applyBorder="1" applyAlignment="1" applyProtection="1">
      <alignment horizontal="center"/>
      <protection locked="0"/>
    </xf>
    <xf numFmtId="0" fontId="14" fillId="0" borderId="405" xfId="0" applyFont="1" applyFill="1" applyBorder="1" applyAlignment="1" applyProtection="1">
      <alignment horizontal="center"/>
      <protection locked="0"/>
    </xf>
    <xf numFmtId="14" fontId="3" fillId="0" borderId="321" xfId="0" applyNumberFormat="1" applyFont="1" applyFill="1" applyBorder="1" applyAlignment="1" applyProtection="1">
      <alignment horizontal="center"/>
      <protection locked="0"/>
    </xf>
    <xf numFmtId="14" fontId="3" fillId="0" borderId="253" xfId="0" applyNumberFormat="1" applyFont="1" applyFill="1" applyBorder="1" applyAlignment="1" applyProtection="1">
      <alignment horizontal="center"/>
      <protection locked="0"/>
    </xf>
    <xf numFmtId="14" fontId="3" fillId="0" borderId="257" xfId="0" applyNumberFormat="1" applyFont="1" applyFill="1" applyBorder="1" applyAlignment="1" applyProtection="1">
      <alignment horizontal="center"/>
      <protection locked="0"/>
    </xf>
    <xf numFmtId="0" fontId="19" fillId="16" borderId="109" xfId="0" applyFont="1" applyFill="1" applyBorder="1" applyAlignment="1" applyProtection="1">
      <alignment horizontal="center" vertical="center" wrapText="1"/>
    </xf>
    <xf numFmtId="0" fontId="19" fillId="16" borderId="117" xfId="0" applyFont="1" applyFill="1" applyBorder="1" applyAlignment="1" applyProtection="1">
      <alignment horizontal="center" vertical="center"/>
    </xf>
    <xf numFmtId="9" fontId="19" fillId="16" borderId="110" xfId="0" applyNumberFormat="1" applyFont="1" applyFill="1" applyBorder="1" applyAlignment="1" applyProtection="1">
      <alignment horizontal="center" vertical="center" wrapText="1"/>
    </xf>
    <xf numFmtId="9" fontId="42" fillId="16" borderId="110" xfId="0" applyNumberFormat="1" applyFont="1" applyFill="1" applyBorder="1" applyAlignment="1" applyProtection="1">
      <alignment horizontal="center" vertical="center" wrapText="1"/>
    </xf>
    <xf numFmtId="9" fontId="19" fillId="16" borderId="117" xfId="0" applyNumberFormat="1" applyFont="1" applyFill="1" applyBorder="1" applyAlignment="1" applyProtection="1">
      <alignment horizontal="center" vertical="center" wrapText="1"/>
    </xf>
    <xf numFmtId="9" fontId="19" fillId="16" borderId="118" xfId="0" applyNumberFormat="1" applyFont="1" applyFill="1" applyBorder="1" applyAlignment="1" applyProtection="1">
      <alignment horizontal="center" vertical="center" wrapText="1"/>
    </xf>
    <xf numFmtId="9" fontId="19" fillId="16" borderId="70" xfId="0" applyNumberFormat="1" applyFont="1" applyFill="1" applyBorder="1" applyAlignment="1" applyProtection="1">
      <alignment horizontal="center" vertical="center" wrapText="1"/>
    </xf>
    <xf numFmtId="3" fontId="14" fillId="6" borderId="245" xfId="0" applyNumberFormat="1" applyFont="1" applyFill="1" applyBorder="1" applyAlignment="1" applyProtection="1">
      <alignment vertical="center"/>
    </xf>
    <xf numFmtId="3" fontId="14" fillId="6" borderId="250" xfId="0" applyNumberFormat="1" applyFont="1" applyFill="1" applyBorder="1" applyAlignment="1" applyProtection="1">
      <alignment vertical="center"/>
    </xf>
    <xf numFmtId="3" fontId="14" fillId="6" borderId="255" xfId="0" applyNumberFormat="1" applyFont="1" applyFill="1" applyBorder="1" applyAlignment="1" applyProtection="1">
      <alignment vertical="center"/>
    </xf>
    <xf numFmtId="0" fontId="23" fillId="5" borderId="321" xfId="0" applyFont="1" applyFill="1" applyBorder="1" applyAlignment="1" applyProtection="1">
      <protection locked="0"/>
    </xf>
    <xf numFmtId="0" fontId="0" fillId="5" borderId="253" xfId="0" applyFont="1" applyFill="1" applyBorder="1" applyAlignment="1" applyProtection="1">
      <protection locked="0"/>
    </xf>
    <xf numFmtId="0" fontId="0" fillId="5" borderId="293" xfId="0" applyFont="1" applyFill="1" applyBorder="1" applyAlignment="1" applyProtection="1">
      <protection locked="0"/>
    </xf>
    <xf numFmtId="0" fontId="0" fillId="5" borderId="280" xfId="0" applyFont="1" applyFill="1" applyBorder="1" applyAlignment="1" applyProtection="1">
      <protection locked="0"/>
    </xf>
    <xf numFmtId="0" fontId="16" fillId="16" borderId="218" xfId="0" applyFont="1" applyFill="1" applyBorder="1" applyAlignment="1" applyProtection="1"/>
    <xf numFmtId="0" fontId="16" fillId="16" borderId="110" xfId="0" applyFont="1" applyFill="1" applyBorder="1" applyAlignment="1" applyProtection="1">
      <alignment horizontal="center" wrapText="1"/>
    </xf>
    <xf numFmtId="0" fontId="16" fillId="16" borderId="165" xfId="0" applyFont="1" applyFill="1" applyBorder="1" applyAlignment="1" applyProtection="1"/>
    <xf numFmtId="0" fontId="16" fillId="16" borderId="451" xfId="0" applyFont="1" applyFill="1" applyBorder="1" applyAlignment="1" applyProtection="1">
      <alignment wrapText="1"/>
    </xf>
    <xf numFmtId="0" fontId="18"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40" fillId="0" borderId="250" xfId="0" applyFont="1" applyFill="1" applyBorder="1" applyAlignment="1" applyProtection="1">
      <alignment vertical="center" wrapText="1"/>
      <protection locked="0"/>
    </xf>
    <xf numFmtId="0" fontId="40" fillId="0" borderId="255" xfId="0" applyFont="1" applyFill="1" applyBorder="1" applyAlignment="1" applyProtection="1">
      <alignment vertical="center" wrapText="1"/>
      <protection locked="0"/>
    </xf>
    <xf numFmtId="0" fontId="42" fillId="16" borderId="12" xfId="0" applyFont="1" applyFill="1" applyBorder="1" applyAlignment="1" applyProtection="1">
      <alignment vertical="center"/>
    </xf>
    <xf numFmtId="6" fontId="15" fillId="25" borderId="229" xfId="0" applyNumberFormat="1" applyFont="1" applyFill="1" applyBorder="1" applyAlignment="1" applyProtection="1"/>
    <xf numFmtId="0" fontId="42" fillId="6" borderId="152" xfId="0" applyNumberFormat="1" applyFont="1" applyFill="1" applyBorder="1" applyAlignment="1" applyProtection="1">
      <alignment horizontal="center" vertical="center" wrapText="1"/>
    </xf>
    <xf numFmtId="0" fontId="42" fillId="6" borderId="236" xfId="0" applyNumberFormat="1" applyFont="1" applyFill="1" applyBorder="1" applyAlignment="1" applyProtection="1">
      <alignment horizontal="center" vertical="center" wrapText="1"/>
    </xf>
    <xf numFmtId="0" fontId="42" fillId="6" borderId="237" xfId="0" applyNumberFormat="1" applyFont="1" applyFill="1" applyBorder="1" applyAlignment="1" applyProtection="1">
      <alignment horizontal="center" vertical="center" wrapText="1"/>
    </xf>
    <xf numFmtId="0" fontId="15" fillId="0" borderId="282" xfId="0" applyFont="1" applyFill="1" applyBorder="1" applyAlignment="1" applyProtection="1">
      <alignment vertical="center"/>
      <protection locked="0"/>
    </xf>
    <xf numFmtId="0" fontId="19" fillId="16" borderId="152" xfId="0" applyFont="1" applyFill="1" applyBorder="1" applyAlignment="1" applyProtection="1"/>
    <xf numFmtId="0" fontId="42"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50" xfId="0" applyNumberFormat="1" applyFont="1" applyFill="1" applyBorder="1" applyAlignment="1" applyProtection="1">
      <alignment wrapText="1"/>
    </xf>
    <xf numFmtId="0" fontId="17"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0"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1" fillId="0" borderId="293" xfId="0" applyFont="1" applyBorder="1" applyAlignment="1" applyProtection="1">
      <alignment wrapText="1"/>
      <protection locked="0"/>
    </xf>
    <xf numFmtId="0" fontId="41" fillId="0" borderId="280" xfId="0" applyFont="1" applyBorder="1" applyAlignment="1" applyProtection="1">
      <alignment wrapText="1"/>
      <protection locked="0"/>
    </xf>
    <xf numFmtId="0" fontId="41" fillId="0" borderId="297" xfId="0" applyFont="1" applyBorder="1" applyAlignment="1" applyProtection="1">
      <alignment wrapText="1"/>
      <protection locked="0"/>
    </xf>
    <xf numFmtId="0" fontId="5" fillId="16" borderId="163" xfId="0" applyFont="1" applyFill="1" applyBorder="1" applyAlignment="1" applyProtection="1">
      <alignment vertical="center" wrapText="1"/>
    </xf>
    <xf numFmtId="0" fontId="3" fillId="0" borderId="245" xfId="0" applyFont="1" applyBorder="1" applyAlignment="1" applyProtection="1">
      <alignment vertical="center" wrapText="1"/>
      <protection locked="0"/>
    </xf>
    <xf numFmtId="0" fontId="3" fillId="0" borderId="250" xfId="0" applyFont="1" applyBorder="1" applyAlignment="1" applyProtection="1">
      <alignment vertical="center"/>
      <protection locked="0"/>
    </xf>
    <xf numFmtId="0" fontId="3" fillId="0" borderId="250" xfId="0" applyFont="1" applyFill="1" applyBorder="1" applyAlignment="1" applyProtection="1">
      <alignment vertical="center" wrapText="1"/>
      <protection locked="0"/>
    </xf>
    <xf numFmtId="0" fontId="50" fillId="0" borderId="0" xfId="0" applyFont="1" applyAlignment="1" applyProtection="1">
      <alignment vertical="top" wrapText="1"/>
      <protection locked="0"/>
    </xf>
    <xf numFmtId="0" fontId="0" fillId="0" borderId="0" xfId="0" applyBorder="1" applyProtection="1">
      <protection locked="0"/>
    </xf>
    <xf numFmtId="0" fontId="15" fillId="0" borderId="233" xfId="0" applyFont="1" applyBorder="1" applyProtection="1">
      <protection locked="0"/>
    </xf>
    <xf numFmtId="0" fontId="15" fillId="0" borderId="201" xfId="0" applyFont="1" applyBorder="1" applyProtection="1"/>
    <xf numFmtId="0" fontId="0" fillId="0" borderId="0" xfId="0" applyBorder="1" applyProtection="1"/>
    <xf numFmtId="0" fontId="15" fillId="0" borderId="36" xfId="0" applyFont="1" applyBorder="1" applyAlignment="1" applyProtection="1"/>
    <xf numFmtId="0" fontId="15" fillId="0" borderId="36" xfId="0" applyFont="1" applyBorder="1" applyProtection="1"/>
    <xf numFmtId="44" fontId="40" fillId="6" borderId="162" xfId="0" applyNumberFormat="1" applyFont="1" applyFill="1" applyBorder="1" applyProtection="1"/>
    <xf numFmtId="44" fontId="40" fillId="6" borderId="161" xfId="0" applyNumberFormat="1" applyFont="1" applyFill="1" applyBorder="1" applyProtection="1"/>
    <xf numFmtId="44" fontId="40" fillId="6" borderId="160" xfId="0" applyNumberFormat="1" applyFont="1" applyFill="1" applyBorder="1" applyProtection="1"/>
    <xf numFmtId="44" fontId="40" fillId="6" borderId="151" xfId="0" applyNumberFormat="1" applyFont="1" applyFill="1" applyBorder="1" applyProtection="1"/>
    <xf numFmtId="44" fontId="40" fillId="6" borderId="237" xfId="0" applyNumberFormat="1" applyFont="1" applyFill="1" applyBorder="1" applyProtection="1"/>
    <xf numFmtId="44" fontId="40" fillId="5" borderId="217" xfId="0" applyNumberFormat="1" applyFont="1" applyFill="1" applyBorder="1" applyProtection="1">
      <protection locked="0"/>
    </xf>
    <xf numFmtId="44" fontId="40" fillId="5" borderId="452" xfId="0" applyNumberFormat="1" applyFont="1" applyFill="1" applyBorder="1" applyProtection="1">
      <protection locked="0"/>
    </xf>
    <xf numFmtId="44" fontId="40" fillId="5" borderId="139" xfId="0" applyNumberFormat="1" applyFont="1" applyFill="1" applyBorder="1" applyProtection="1">
      <protection locked="0"/>
    </xf>
    <xf numFmtId="44" fontId="40" fillId="5" borderId="255" xfId="0" applyNumberFormat="1" applyFont="1" applyFill="1" applyBorder="1" applyProtection="1">
      <protection locked="0"/>
    </xf>
    <xf numFmtId="44" fontId="40" fillId="5" borderId="297" xfId="0" applyNumberFormat="1" applyFont="1" applyFill="1" applyBorder="1" applyProtection="1">
      <protection locked="0"/>
    </xf>
    <xf numFmtId="44" fontId="40" fillId="5" borderId="453" xfId="0" applyNumberFormat="1" applyFont="1" applyFill="1" applyBorder="1" applyProtection="1">
      <protection locked="0"/>
    </xf>
    <xf numFmtId="44" fontId="40" fillId="5" borderId="354" xfId="0" applyNumberFormat="1" applyFont="1" applyFill="1" applyBorder="1" applyProtection="1">
      <protection locked="0"/>
    </xf>
    <xf numFmtId="44" fontId="40" fillId="5" borderId="313" xfId="0" applyNumberFormat="1" applyFont="1" applyFill="1" applyBorder="1" applyProtection="1">
      <protection locked="0"/>
    </xf>
    <xf numFmtId="44" fontId="40" fillId="5" borderId="371" xfId="0" applyNumberFormat="1" applyFont="1" applyFill="1" applyBorder="1" applyProtection="1">
      <protection locked="0"/>
    </xf>
    <xf numFmtId="44" fontId="40" fillId="0" borderId="217" xfId="0" applyNumberFormat="1" applyFont="1" applyBorder="1" applyProtection="1">
      <protection locked="0"/>
    </xf>
    <xf numFmtId="44" fontId="40" fillId="0" borderId="452" xfId="0" applyNumberFormat="1" applyFont="1" applyBorder="1" applyProtection="1">
      <protection locked="0"/>
    </xf>
    <xf numFmtId="44" fontId="40" fillId="0" borderId="139" xfId="0" applyNumberFormat="1" applyFont="1" applyBorder="1" applyProtection="1">
      <protection locked="0"/>
    </xf>
    <xf numFmtId="44" fontId="40" fillId="0" borderId="255" xfId="0" applyNumberFormat="1" applyFont="1" applyBorder="1" applyProtection="1">
      <protection locked="0"/>
    </xf>
    <xf numFmtId="44" fontId="40" fillId="0" borderId="297" xfId="0" applyNumberFormat="1" applyFont="1" applyBorder="1" applyProtection="1">
      <protection locked="0"/>
    </xf>
    <xf numFmtId="44" fontId="40" fillId="0" borderId="453" xfId="0" applyNumberFormat="1" applyFont="1" applyBorder="1" applyProtection="1">
      <protection locked="0"/>
    </xf>
    <xf numFmtId="44" fontId="40" fillId="0" borderId="354" xfId="0" applyNumberFormat="1" applyFont="1" applyBorder="1" applyProtection="1">
      <protection locked="0"/>
    </xf>
    <xf numFmtId="44" fontId="40" fillId="0" borderId="313" xfId="0" applyNumberFormat="1" applyFont="1" applyBorder="1" applyProtection="1">
      <protection locked="0"/>
    </xf>
    <xf numFmtId="44" fontId="40" fillId="0" borderId="371" xfId="0" applyNumberFormat="1" applyFont="1" applyBorder="1" applyProtection="1">
      <protection locked="0"/>
    </xf>
    <xf numFmtId="9" fontId="7" fillId="0" borderId="217" xfId="0" applyNumberFormat="1" applyFont="1" applyBorder="1" applyAlignment="1" applyProtection="1">
      <alignment vertical="center"/>
      <protection locked="0"/>
    </xf>
    <xf numFmtId="1" fontId="7" fillId="0" borderId="452" xfId="0" applyNumberFormat="1" applyFont="1" applyBorder="1" applyAlignment="1" applyProtection="1">
      <protection locked="0"/>
    </xf>
    <xf numFmtId="42" fontId="7" fillId="0" borderId="452" xfId="0" applyNumberFormat="1" applyFont="1" applyBorder="1" applyAlignment="1" applyProtection="1">
      <protection locked="0"/>
    </xf>
    <xf numFmtId="9" fontId="7" fillId="0" borderId="255" xfId="0" applyNumberFormat="1" applyFont="1" applyBorder="1" applyAlignment="1" applyProtection="1">
      <alignment vertical="center"/>
      <protection locked="0"/>
    </xf>
    <xf numFmtId="1" fontId="7" fillId="0" borderId="297" xfId="0" applyNumberFormat="1" applyFont="1" applyBorder="1" applyAlignment="1" applyProtection="1">
      <protection locked="0"/>
    </xf>
    <xf numFmtId="42" fontId="7" fillId="0" borderId="297" xfId="0" applyNumberFormat="1" applyFont="1" applyBorder="1" applyAlignment="1" applyProtection="1">
      <protection locked="0"/>
    </xf>
    <xf numFmtId="9" fontId="7" fillId="0" borderId="250" xfId="0" applyNumberFormat="1" applyFont="1" applyBorder="1" applyAlignment="1" applyProtection="1">
      <alignment vertical="center"/>
      <protection locked="0"/>
    </xf>
    <xf numFmtId="1" fontId="7" fillId="0" borderId="280" xfId="0" applyNumberFormat="1" applyFont="1" applyBorder="1" applyAlignment="1" applyProtection="1">
      <protection locked="0"/>
    </xf>
    <xf numFmtId="42" fontId="7" fillId="0" borderId="280" xfId="0" applyNumberFormat="1" applyFont="1" applyBorder="1" applyAlignment="1" applyProtection="1">
      <protection locked="0"/>
    </xf>
    <xf numFmtId="0" fontId="40" fillId="0" borderId="245" xfId="0" applyFont="1" applyFill="1" applyBorder="1" applyAlignment="1" applyProtection="1">
      <alignment vertical="center" wrapText="1"/>
      <protection locked="0"/>
    </xf>
    <xf numFmtId="6" fontId="19" fillId="16" borderId="417" xfId="0" applyNumberFormat="1" applyFont="1" applyFill="1" applyBorder="1" applyAlignment="1" applyProtection="1">
      <alignment horizontal="center" wrapText="1"/>
    </xf>
    <xf numFmtId="0" fontId="40" fillId="0" borderId="454" xfId="0" applyFont="1" applyFill="1" applyBorder="1" applyAlignment="1" applyProtection="1">
      <alignment vertical="center" wrapText="1"/>
      <protection locked="0"/>
    </xf>
    <xf numFmtId="0" fontId="40" fillId="0" borderId="456" xfId="0" applyFont="1" applyFill="1" applyBorder="1" applyAlignment="1" applyProtection="1">
      <alignment vertical="center" wrapText="1"/>
      <protection locked="0"/>
    </xf>
    <xf numFmtId="0" fontId="40" fillId="0" borderId="458" xfId="0" applyFont="1" applyFill="1" applyBorder="1" applyAlignment="1" applyProtection="1">
      <alignment vertical="center" wrapText="1"/>
      <protection locked="0"/>
    </xf>
    <xf numFmtId="44" fontId="40" fillId="6" borderId="326" xfId="0" applyNumberFormat="1" applyFont="1" applyFill="1" applyBorder="1" applyAlignment="1" applyProtection="1">
      <alignment horizontal="right" vertical="center"/>
    </xf>
    <xf numFmtId="44" fontId="40" fillId="0" borderId="327" xfId="0" applyNumberFormat="1" applyFont="1" applyFill="1" applyBorder="1" applyAlignment="1" applyProtection="1">
      <alignment horizontal="right" vertical="center"/>
      <protection locked="0"/>
    </xf>
    <xf numFmtId="44" fontId="40" fillId="0" borderId="328" xfId="0" applyNumberFormat="1" applyFont="1" applyFill="1" applyBorder="1" applyAlignment="1" applyProtection="1">
      <alignment horizontal="right" vertical="center"/>
      <protection locked="0"/>
    </xf>
    <xf numFmtId="44" fontId="40" fillId="6" borderId="329" xfId="0" applyNumberFormat="1" applyFont="1" applyFill="1" applyBorder="1" applyAlignment="1" applyProtection="1">
      <alignment vertical="center"/>
    </xf>
    <xf numFmtId="44" fontId="40" fillId="0" borderId="330" xfId="0" applyNumberFormat="1" applyFont="1" applyFill="1" applyBorder="1" applyAlignment="1" applyProtection="1">
      <alignment horizontal="right" vertical="center"/>
      <protection locked="0"/>
    </xf>
    <xf numFmtId="44" fontId="40" fillId="0" borderId="331" xfId="0" applyNumberFormat="1" applyFont="1" applyFill="1" applyBorder="1" applyAlignment="1" applyProtection="1">
      <alignment horizontal="right" vertical="center"/>
      <protection locked="0"/>
    </xf>
    <xf numFmtId="44" fontId="40" fillId="6" borderId="332" xfId="0" applyNumberFormat="1" applyFont="1" applyFill="1" applyBorder="1" applyAlignment="1" applyProtection="1">
      <alignment horizontal="right" vertical="center"/>
    </xf>
    <xf numFmtId="44" fontId="40" fillId="0" borderId="333" xfId="0" applyNumberFormat="1" applyFont="1" applyFill="1" applyBorder="1" applyAlignment="1" applyProtection="1">
      <alignment horizontal="right" vertical="center"/>
      <protection locked="0"/>
    </xf>
    <xf numFmtId="44" fontId="40" fillId="0" borderId="334" xfId="0" applyNumberFormat="1" applyFont="1" applyFill="1" applyBorder="1" applyAlignment="1" applyProtection="1">
      <alignment horizontal="right" vertical="center"/>
      <protection locked="0"/>
    </xf>
    <xf numFmtId="44" fontId="40" fillId="0" borderId="431" xfId="0" applyNumberFormat="1" applyFont="1" applyFill="1" applyBorder="1" applyAlignment="1" applyProtection="1">
      <alignment horizontal="right" vertical="center"/>
      <protection locked="0"/>
    </xf>
    <xf numFmtId="44" fontId="40" fillId="0" borderId="335" xfId="0" applyNumberFormat="1" applyFont="1" applyFill="1" applyBorder="1" applyAlignment="1" applyProtection="1">
      <alignment horizontal="right" vertical="center"/>
      <protection locked="0"/>
    </xf>
    <xf numFmtId="44" fontId="40" fillId="0" borderId="336" xfId="0" applyNumberFormat="1" applyFont="1" applyFill="1" applyBorder="1" applyAlignment="1" applyProtection="1">
      <alignment horizontal="right" vertical="center"/>
      <protection locked="0"/>
    </xf>
    <xf numFmtId="44" fontId="40" fillId="0" borderId="432" xfId="0" applyNumberFormat="1" applyFont="1" applyFill="1" applyBorder="1" applyAlignment="1" applyProtection="1">
      <alignment horizontal="right" vertical="center"/>
      <protection locked="0"/>
    </xf>
    <xf numFmtId="44" fontId="40" fillId="0" borderId="338" xfId="0" applyNumberFormat="1" applyFont="1" applyFill="1" applyBorder="1" applyAlignment="1" applyProtection="1">
      <alignment horizontal="right" vertical="center"/>
      <protection locked="0"/>
    </xf>
    <xf numFmtId="44" fontId="40" fillId="0" borderId="339" xfId="0" applyNumberFormat="1" applyFont="1" applyFill="1" applyBorder="1" applyAlignment="1" applyProtection="1">
      <alignment horizontal="right" vertical="center"/>
      <protection locked="0"/>
    </xf>
    <xf numFmtId="44" fontId="40" fillId="6" borderId="205" xfId="0" applyNumberFormat="1" applyFont="1" applyFill="1" applyBorder="1" applyAlignment="1" applyProtection="1">
      <alignment horizontal="right" vertical="center"/>
    </xf>
    <xf numFmtId="44" fontId="40" fillId="6" borderId="206" xfId="0" applyNumberFormat="1" applyFont="1" applyFill="1" applyBorder="1" applyAlignment="1" applyProtection="1">
      <alignment horizontal="right" vertical="center"/>
    </xf>
    <xf numFmtId="44" fontId="40" fillId="6" borderId="207" xfId="0" applyNumberFormat="1" applyFont="1" applyFill="1" applyBorder="1" applyAlignment="1" applyProtection="1">
      <alignment horizontal="right" vertical="center"/>
    </xf>
    <xf numFmtId="44" fontId="40" fillId="0" borderId="197" xfId="0" applyNumberFormat="1" applyFont="1" applyFill="1" applyBorder="1" applyAlignment="1" applyProtection="1">
      <alignment vertical="center"/>
      <protection locked="0"/>
    </xf>
    <xf numFmtId="44" fontId="40" fillId="0" borderId="187" xfId="0" applyNumberFormat="1" applyFont="1" applyFill="1" applyBorder="1" applyAlignment="1" applyProtection="1">
      <alignment vertical="center"/>
      <protection locked="0"/>
    </xf>
    <xf numFmtId="44" fontId="40" fillId="0" borderId="188" xfId="0" applyNumberFormat="1" applyFont="1" applyFill="1" applyBorder="1" applyAlignment="1" applyProtection="1">
      <alignment vertical="center"/>
      <protection locked="0"/>
    </xf>
    <xf numFmtId="44" fontId="42" fillId="6" borderId="189" xfId="0" applyNumberFormat="1" applyFont="1" applyFill="1" applyBorder="1" applyAlignment="1" applyProtection="1">
      <alignment vertical="center"/>
    </xf>
    <xf numFmtId="44" fontId="42" fillId="6" borderId="190" xfId="0" applyNumberFormat="1" applyFont="1" applyFill="1" applyBorder="1" applyAlignment="1" applyProtection="1">
      <alignment vertical="center"/>
    </xf>
    <xf numFmtId="44" fontId="42" fillId="6" borderId="191" xfId="0" applyNumberFormat="1" applyFont="1" applyFill="1" applyBorder="1" applyAlignment="1" applyProtection="1">
      <alignment vertical="center"/>
    </xf>
    <xf numFmtId="44" fontId="62" fillId="6" borderId="340" xfId="0" applyNumberFormat="1" applyFont="1" applyFill="1" applyBorder="1" applyAlignment="1" applyProtection="1">
      <alignment vertical="center"/>
    </xf>
    <xf numFmtId="44" fontId="62" fillId="6" borderId="301" xfId="0" applyNumberFormat="1" applyFont="1" applyFill="1" applyBorder="1" applyAlignment="1" applyProtection="1">
      <alignment vertical="center"/>
    </xf>
    <xf numFmtId="44" fontId="62" fillId="6" borderId="341" xfId="0" applyNumberFormat="1" applyFont="1" applyFill="1" applyBorder="1" applyAlignment="1" applyProtection="1">
      <alignment vertical="center"/>
    </xf>
    <xf numFmtId="44" fontId="62" fillId="6" borderId="342" xfId="0" applyNumberFormat="1" applyFont="1" applyFill="1" applyBorder="1" applyAlignment="1" applyProtection="1">
      <alignment vertical="center"/>
    </xf>
    <xf numFmtId="44" fontId="62" fillId="6" borderId="343" xfId="0" applyNumberFormat="1" applyFont="1" applyFill="1" applyBorder="1" applyAlignment="1" applyProtection="1">
      <alignment vertical="center"/>
    </xf>
    <xf numFmtId="44" fontId="62" fillId="6" borderId="344" xfId="0" applyNumberFormat="1" applyFont="1" applyFill="1" applyBorder="1" applyAlignment="1" applyProtection="1">
      <alignment vertical="center"/>
    </xf>
    <xf numFmtId="44" fontId="42" fillId="6" borderId="178" xfId="0" applyNumberFormat="1" applyFont="1" applyFill="1" applyBorder="1" applyAlignment="1" applyProtection="1">
      <alignment vertical="center"/>
    </xf>
    <xf numFmtId="44" fontId="42" fillId="6" borderId="179" xfId="0" applyNumberFormat="1" applyFont="1" applyFill="1" applyBorder="1" applyAlignment="1" applyProtection="1">
      <alignment vertical="center"/>
    </xf>
    <xf numFmtId="44" fontId="42" fillId="6" borderId="180" xfId="0" applyNumberFormat="1" applyFont="1" applyFill="1" applyBorder="1" applyAlignment="1" applyProtection="1">
      <alignment vertical="center"/>
    </xf>
    <xf numFmtId="44" fontId="42" fillId="6" borderId="195" xfId="0" applyNumberFormat="1" applyFont="1" applyFill="1" applyBorder="1" applyAlignment="1" applyProtection="1">
      <alignment vertical="center"/>
    </xf>
    <xf numFmtId="44" fontId="42" fillId="6" borderId="196" xfId="0" applyNumberFormat="1" applyFont="1" applyFill="1" applyBorder="1" applyAlignment="1" applyProtection="1">
      <alignment vertical="center"/>
    </xf>
    <xf numFmtId="44" fontId="42" fillId="6" borderId="153" xfId="0" applyNumberFormat="1" applyFont="1" applyFill="1" applyBorder="1" applyAlignment="1" applyProtection="1">
      <alignment vertical="center"/>
    </xf>
    <xf numFmtId="44" fontId="40" fillId="0" borderId="347" xfId="0" applyNumberFormat="1" applyFont="1" applyFill="1" applyBorder="1" applyAlignment="1" applyProtection="1">
      <alignment horizontal="right" vertical="center"/>
      <protection locked="0"/>
    </xf>
    <xf numFmtId="44" fontId="40" fillId="0" borderId="348" xfId="0" applyNumberFormat="1" applyFont="1" applyFill="1" applyBorder="1" applyAlignment="1" applyProtection="1">
      <alignment horizontal="right" vertical="center"/>
      <protection locked="0"/>
    </xf>
    <xf numFmtId="44" fontId="40" fillId="0" borderId="349" xfId="0" applyNumberFormat="1" applyFont="1" applyFill="1" applyBorder="1" applyAlignment="1" applyProtection="1">
      <alignment vertical="center"/>
      <protection locked="0"/>
    </xf>
    <xf numFmtId="44" fontId="40" fillId="0" borderId="352" xfId="0" applyNumberFormat="1" applyFont="1" applyFill="1" applyBorder="1" applyAlignment="1" applyProtection="1">
      <alignment horizontal="right" vertical="center"/>
      <protection locked="0"/>
    </xf>
    <xf numFmtId="44" fontId="40" fillId="0" borderId="353" xfId="0" applyNumberFormat="1" applyFont="1" applyFill="1" applyBorder="1" applyAlignment="1" applyProtection="1">
      <alignment horizontal="right" vertical="center"/>
      <protection locked="0"/>
    </xf>
    <xf numFmtId="44" fontId="40" fillId="0" borderId="331" xfId="0" applyNumberFormat="1" applyFont="1" applyFill="1" applyBorder="1" applyAlignment="1" applyProtection="1">
      <alignment vertical="center"/>
      <protection locked="0"/>
    </xf>
    <xf numFmtId="44" fontId="40" fillId="0" borderId="359" xfId="0" applyNumberFormat="1" applyFont="1" applyFill="1" applyBorder="1" applyAlignment="1" applyProtection="1">
      <alignment horizontal="right" vertical="center"/>
      <protection locked="0"/>
    </xf>
    <xf numFmtId="44" fontId="40" fillId="0" borderId="360" xfId="0" applyNumberFormat="1" applyFont="1" applyFill="1" applyBorder="1" applyAlignment="1" applyProtection="1">
      <alignment horizontal="right" vertical="center"/>
      <protection locked="0"/>
    </xf>
    <xf numFmtId="44" fontId="40" fillId="0" borderId="361" xfId="0" applyNumberFormat="1" applyFont="1" applyFill="1" applyBorder="1" applyAlignment="1" applyProtection="1">
      <alignment vertical="center"/>
      <protection locked="0"/>
    </xf>
    <xf numFmtId="44" fontId="40" fillId="6" borderId="362" xfId="0" applyNumberFormat="1" applyFont="1" applyFill="1" applyBorder="1" applyAlignment="1" applyProtection="1">
      <alignment horizontal="right" vertical="center"/>
    </xf>
    <xf numFmtId="44" fontId="40" fillId="6" borderId="363" xfId="0" applyNumberFormat="1" applyFont="1" applyFill="1" applyBorder="1" applyAlignment="1" applyProtection="1">
      <alignment horizontal="right" vertical="center"/>
    </xf>
    <xf numFmtId="44" fontId="40" fillId="6" borderId="364" xfId="0" applyNumberFormat="1" applyFont="1" applyFill="1" applyBorder="1" applyAlignment="1" applyProtection="1">
      <alignment horizontal="right" vertical="center"/>
    </xf>
    <xf numFmtId="44" fontId="40" fillId="6" borderId="365" xfId="0" applyNumberFormat="1" applyFont="1" applyFill="1" applyBorder="1" applyAlignment="1" applyProtection="1">
      <alignment horizontal="right" vertical="center"/>
    </xf>
    <xf numFmtId="44" fontId="40" fillId="6" borderId="366" xfId="0" applyNumberFormat="1" applyFont="1" applyFill="1" applyBorder="1" applyAlignment="1" applyProtection="1">
      <alignment horizontal="right" vertical="center"/>
    </xf>
    <xf numFmtId="44" fontId="40" fillId="6" borderId="361" xfId="0" applyNumberFormat="1" applyFont="1" applyFill="1" applyBorder="1" applyAlignment="1" applyProtection="1">
      <alignment horizontal="right" vertical="center"/>
    </xf>
    <xf numFmtId="44" fontId="40" fillId="0" borderId="279" xfId="0" applyNumberFormat="1" applyFont="1" applyFill="1" applyBorder="1" applyAlignment="1" applyProtection="1">
      <alignment vertical="center"/>
      <protection locked="0"/>
    </xf>
    <xf numFmtId="44" fontId="40" fillId="0" borderId="282" xfId="0" applyNumberFormat="1" applyFont="1" applyFill="1" applyBorder="1" applyAlignment="1" applyProtection="1">
      <alignment vertical="center"/>
      <protection locked="0"/>
    </xf>
    <xf numFmtId="44" fontId="40" fillId="0" borderId="367" xfId="0" applyNumberFormat="1" applyFont="1" applyFill="1" applyBorder="1" applyAlignment="1" applyProtection="1">
      <alignment horizontal="right" vertical="center"/>
      <protection locked="0"/>
    </xf>
    <xf numFmtId="44" fontId="40" fillId="0" borderId="368" xfId="0" applyNumberFormat="1" applyFont="1" applyFill="1" applyBorder="1" applyAlignment="1" applyProtection="1">
      <alignment horizontal="right" vertical="center"/>
      <protection locked="0"/>
    </xf>
    <xf numFmtId="44" fontId="40" fillId="0" borderId="344" xfId="0" applyNumberFormat="1" applyFont="1" applyFill="1" applyBorder="1" applyAlignment="1" applyProtection="1">
      <alignment vertical="center"/>
      <protection locked="0"/>
    </xf>
    <xf numFmtId="44" fontId="40" fillId="6" borderId="181" xfId="0" applyNumberFormat="1" applyFont="1" applyFill="1" applyBorder="1" applyAlignment="1" applyProtection="1">
      <alignment horizontal="right" vertical="center"/>
    </xf>
    <xf numFmtId="44" fontId="40" fillId="6" borderId="182" xfId="0" applyNumberFormat="1" applyFont="1" applyFill="1" applyBorder="1" applyAlignment="1" applyProtection="1">
      <alignment horizontal="right" vertical="center"/>
    </xf>
    <xf numFmtId="44" fontId="40" fillId="6" borderId="204" xfId="0" applyNumberFormat="1" applyFont="1" applyFill="1" applyBorder="1" applyAlignment="1" applyProtection="1">
      <alignment horizontal="right" vertical="center"/>
    </xf>
    <xf numFmtId="44" fontId="40" fillId="6" borderId="370" xfId="0" applyNumberFormat="1" applyFont="1" applyFill="1" applyBorder="1" applyProtection="1"/>
    <xf numFmtId="44" fontId="40" fillId="6" borderId="300" xfId="0" applyNumberFormat="1" applyFont="1" applyFill="1" applyBorder="1" applyProtection="1"/>
    <xf numFmtId="44" fontId="40" fillId="6" borderId="371" xfId="0" applyNumberFormat="1" applyFont="1" applyFill="1" applyBorder="1" applyProtection="1"/>
    <xf numFmtId="43" fontId="40" fillId="6" borderId="329" xfId="0" applyNumberFormat="1" applyFont="1" applyFill="1" applyBorder="1" applyAlignment="1" applyProtection="1">
      <alignment horizontal="right" vertical="center"/>
    </xf>
    <xf numFmtId="43" fontId="40" fillId="6" borderId="330" xfId="0" applyNumberFormat="1" applyFont="1" applyFill="1" applyBorder="1" applyAlignment="1" applyProtection="1">
      <alignment horizontal="right" vertical="center"/>
    </xf>
    <xf numFmtId="43" fontId="40" fillId="6" borderId="331" xfId="0" applyNumberFormat="1" applyFont="1" applyFill="1" applyBorder="1" applyAlignment="1" applyProtection="1">
      <alignment horizontal="right" vertical="center"/>
    </xf>
    <xf numFmtId="43" fontId="40" fillId="6" borderId="369" xfId="0" applyNumberFormat="1" applyFont="1" applyFill="1" applyBorder="1" applyAlignment="1" applyProtection="1">
      <alignment horizontal="right" vertical="center"/>
    </xf>
    <xf numFmtId="43" fontId="40" fillId="6" borderId="286" xfId="0" applyNumberFormat="1" applyFont="1" applyFill="1" applyBorder="1" applyAlignment="1" applyProtection="1">
      <alignment horizontal="right" vertical="center"/>
    </xf>
    <xf numFmtId="43" fontId="40" fillId="6" borderId="279" xfId="0" applyNumberFormat="1" applyFont="1" applyFill="1" applyBorder="1" applyAlignment="1" applyProtection="1">
      <alignment horizontal="right" vertical="center"/>
    </xf>
    <xf numFmtId="44" fontId="40" fillId="0" borderId="373" xfId="0" applyNumberFormat="1" applyFont="1" applyFill="1" applyBorder="1" applyAlignment="1" applyProtection="1">
      <alignment vertical="center"/>
      <protection locked="0"/>
    </xf>
    <xf numFmtId="44" fontId="40" fillId="0" borderId="374" xfId="0" applyNumberFormat="1" applyFont="1" applyFill="1" applyBorder="1" applyAlignment="1" applyProtection="1">
      <alignment vertical="center"/>
      <protection locked="0"/>
    </xf>
    <xf numFmtId="44" fontId="40" fillId="0" borderId="375" xfId="0" applyNumberFormat="1" applyFont="1" applyFill="1" applyBorder="1" applyAlignment="1" applyProtection="1">
      <alignment vertical="center"/>
      <protection locked="0"/>
    </xf>
    <xf numFmtId="44" fontId="40" fillId="0" borderId="376" xfId="0" applyNumberFormat="1" applyFont="1" applyFill="1" applyBorder="1" applyAlignment="1" applyProtection="1">
      <alignment vertical="center"/>
      <protection locked="0"/>
    </xf>
    <xf numFmtId="44" fontId="40" fillId="0" borderId="377" xfId="0" applyNumberFormat="1" applyFont="1" applyFill="1" applyBorder="1" applyAlignment="1" applyProtection="1">
      <alignment vertical="center"/>
      <protection locked="0"/>
    </xf>
    <xf numFmtId="44" fontId="40" fillId="0" borderId="379" xfId="0" applyNumberFormat="1" applyFont="1" applyFill="1" applyBorder="1" applyAlignment="1" applyProtection="1">
      <alignment vertical="center"/>
      <protection locked="0"/>
    </xf>
    <xf numFmtId="44" fontId="40" fillId="0" borderId="380" xfId="0" applyNumberFormat="1" applyFont="1" applyFill="1" applyBorder="1" applyAlignment="1" applyProtection="1">
      <alignment vertical="center"/>
      <protection locked="0"/>
    </xf>
    <xf numFmtId="44" fontId="40" fillId="0" borderId="381" xfId="0" applyNumberFormat="1" applyFont="1" applyFill="1" applyBorder="1" applyAlignment="1" applyProtection="1">
      <alignment vertical="center"/>
      <protection locked="0"/>
    </xf>
    <xf numFmtId="44" fontId="40" fillId="0" borderId="337" xfId="0" applyNumberFormat="1" applyFont="1" applyFill="1" applyBorder="1" applyAlignment="1" applyProtection="1">
      <alignment horizontal="right" vertical="center"/>
      <protection locked="0"/>
    </xf>
    <xf numFmtId="44" fontId="40" fillId="6" borderId="192" xfId="0" applyNumberFormat="1" applyFont="1" applyFill="1" applyBorder="1" applyAlignment="1" applyProtection="1">
      <alignment horizontal="right" vertical="center"/>
    </xf>
    <xf numFmtId="44" fontId="40" fillId="6" borderId="193" xfId="0" applyNumberFormat="1" applyFont="1" applyFill="1" applyBorder="1" applyAlignment="1" applyProtection="1">
      <alignment horizontal="right" vertical="center"/>
    </xf>
    <xf numFmtId="44" fontId="40" fillId="6" borderId="194" xfId="0" applyNumberFormat="1" applyFont="1" applyFill="1" applyBorder="1" applyAlignment="1" applyProtection="1">
      <alignment horizontal="right" vertical="center"/>
    </xf>
    <xf numFmtId="0" fontId="40" fillId="0" borderId="0" xfId="0" applyFont="1" applyFill="1" applyBorder="1" applyProtection="1"/>
    <xf numFmtId="0" fontId="37" fillId="0" borderId="220" xfId="0" applyFont="1" applyFill="1" applyBorder="1" applyAlignment="1" applyProtection="1">
      <alignment horizontal="right" vertical="center"/>
    </xf>
    <xf numFmtId="0" fontId="37" fillId="0" borderId="201" xfId="0" applyFont="1" applyFill="1" applyBorder="1" applyAlignment="1" applyProtection="1">
      <alignment horizontal="left" vertical="center"/>
    </xf>
    <xf numFmtId="0" fontId="40" fillId="0" borderId="0" xfId="0" applyFont="1" applyFill="1" applyBorder="1" applyAlignment="1" applyProtection="1">
      <alignment horizontal="left"/>
    </xf>
    <xf numFmtId="0" fontId="14" fillId="0" borderId="77" xfId="0" applyFont="1" applyFill="1" applyBorder="1" applyAlignment="1" applyProtection="1"/>
    <xf numFmtId="0" fontId="15" fillId="5" borderId="0" xfId="0" applyFont="1" applyFill="1" applyBorder="1" applyAlignment="1" applyProtection="1">
      <alignment vertical="top"/>
    </xf>
    <xf numFmtId="0" fontId="15" fillId="0" borderId="21" xfId="0" applyFont="1" applyFill="1" applyBorder="1" applyProtection="1"/>
    <xf numFmtId="0" fontId="15" fillId="0" borderId="26" xfId="0" applyFont="1" applyFill="1" applyBorder="1" applyProtection="1"/>
    <xf numFmtId="0" fontId="15" fillId="0" borderId="22" xfId="0" applyFont="1" applyFill="1" applyBorder="1" applyProtection="1"/>
    <xf numFmtId="0" fontId="15" fillId="5" borderId="213"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68" fillId="0" borderId="233" xfId="0" applyFont="1" applyBorder="1" applyAlignment="1">
      <alignment horizontal="center"/>
    </xf>
    <xf numFmtId="0" fontId="69" fillId="0" borderId="4" xfId="0" applyFont="1" applyBorder="1" applyAlignment="1">
      <alignment vertical="center"/>
    </xf>
    <xf numFmtId="10" fontId="53" fillId="0" borderId="425" xfId="0" applyNumberFormat="1" applyFont="1" applyFill="1" applyBorder="1" applyProtection="1">
      <protection locked="0"/>
    </xf>
    <xf numFmtId="42" fontId="15" fillId="0" borderId="417" xfId="0" applyNumberFormat="1" applyFont="1" applyFill="1" applyBorder="1" applyAlignment="1" applyProtection="1">
      <protection locked="0"/>
    </xf>
    <xf numFmtId="42" fontId="15" fillId="0" borderId="396" xfId="0" applyNumberFormat="1" applyFont="1" applyFill="1" applyBorder="1" applyAlignment="1" applyProtection="1">
      <protection locked="0"/>
    </xf>
    <xf numFmtId="42" fontId="15" fillId="0" borderId="447" xfId="0" applyNumberFormat="1" applyFont="1" applyFill="1" applyBorder="1" applyAlignment="1" applyProtection="1">
      <protection locked="0"/>
    </xf>
    <xf numFmtId="42" fontId="15" fillId="0" borderId="445" xfId="0" applyNumberFormat="1" applyFont="1" applyFill="1" applyBorder="1" applyAlignment="1" applyProtection="1">
      <protection locked="0"/>
    </xf>
    <xf numFmtId="42" fontId="15" fillId="6" borderId="56" xfId="0" applyNumberFormat="1" applyFont="1" applyFill="1" applyBorder="1" applyAlignment="1" applyProtection="1"/>
    <xf numFmtId="42" fontId="19" fillId="6" borderId="87" xfId="0" applyNumberFormat="1" applyFont="1" applyFill="1" applyBorder="1" applyAlignment="1" applyProtection="1"/>
    <xf numFmtId="42" fontId="15" fillId="6" borderId="18" xfId="0" applyNumberFormat="1" applyFont="1" applyFill="1" applyBorder="1" applyAlignment="1" applyProtection="1"/>
    <xf numFmtId="42" fontId="15" fillId="6" borderId="87" xfId="0" applyNumberFormat="1" applyFont="1" applyFill="1" applyBorder="1" applyAlignment="1" applyProtection="1"/>
    <xf numFmtId="42" fontId="15" fillId="0" borderId="383" xfId="0" applyNumberFormat="1" applyFont="1" applyFill="1" applyBorder="1" applyAlignment="1" applyProtection="1">
      <alignment horizontal="right" wrapText="1"/>
      <protection locked="0"/>
    </xf>
    <xf numFmtId="42" fontId="15" fillId="0" borderId="330" xfId="0" applyNumberFormat="1" applyFont="1" applyFill="1" applyBorder="1" applyAlignment="1" applyProtection="1">
      <alignment horizontal="right" wrapText="1"/>
      <protection locked="0"/>
    </xf>
    <xf numFmtId="42" fontId="15" fillId="0" borderId="330" xfId="0" applyNumberFormat="1" applyFont="1" applyFill="1" applyBorder="1" applyAlignment="1" applyProtection="1">
      <alignment horizontal="right"/>
      <protection locked="0"/>
    </xf>
    <xf numFmtId="42" fontId="15" fillId="0" borderId="441" xfId="0" applyNumberFormat="1" applyFont="1" applyFill="1" applyBorder="1" applyAlignment="1" applyProtection="1">
      <alignment horizontal="right"/>
      <protection locked="0"/>
    </xf>
    <xf numFmtId="42" fontId="16" fillId="6" borderId="87" xfId="0" applyNumberFormat="1" applyFont="1" applyFill="1" applyBorder="1" applyProtection="1"/>
    <xf numFmtId="42" fontId="15" fillId="0" borderId="385" xfId="0" applyNumberFormat="1" applyFont="1" applyFill="1" applyBorder="1" applyAlignment="1" applyProtection="1">
      <alignment horizontal="right"/>
      <protection locked="0"/>
    </xf>
    <xf numFmtId="42" fontId="15" fillId="0" borderId="383" xfId="0" applyNumberFormat="1" applyFont="1" applyFill="1" applyBorder="1" applyAlignment="1" applyProtection="1">
      <alignment horizontal="right"/>
      <protection locked="0"/>
    </xf>
    <xf numFmtId="42" fontId="15" fillId="0" borderId="349" xfId="0" applyNumberFormat="1" applyFont="1" applyFill="1" applyBorder="1" applyAlignment="1" applyProtection="1">
      <alignment horizontal="right"/>
      <protection locked="0"/>
    </xf>
    <xf numFmtId="42" fontId="15" fillId="0" borderId="329" xfId="0" applyNumberFormat="1" applyFont="1" applyFill="1" applyBorder="1" applyAlignment="1" applyProtection="1">
      <alignment horizontal="right"/>
      <protection locked="0"/>
    </xf>
    <xf numFmtId="42" fontId="15" fillId="0" borderId="331" xfId="0" applyNumberFormat="1" applyFont="1" applyFill="1" applyBorder="1" applyAlignment="1" applyProtection="1">
      <alignment horizontal="right"/>
      <protection locked="0"/>
    </xf>
    <xf numFmtId="42" fontId="15" fillId="0" borderId="444" xfId="0" applyNumberFormat="1" applyFont="1" applyFill="1" applyBorder="1" applyAlignment="1" applyProtection="1">
      <alignment horizontal="right"/>
      <protection locked="0"/>
    </xf>
    <xf numFmtId="42" fontId="15" fillId="0" borderId="384" xfId="0" applyNumberFormat="1" applyFont="1" applyFill="1" applyBorder="1" applyAlignment="1" applyProtection="1">
      <alignment horizontal="right"/>
      <protection locked="0"/>
    </xf>
    <xf numFmtId="42" fontId="16" fillId="6" borderId="24" xfId="0" applyNumberFormat="1" applyFont="1" applyFill="1" applyBorder="1" applyProtection="1"/>
    <xf numFmtId="42" fontId="16" fillId="6" borderId="17" xfId="0" applyNumberFormat="1" applyFont="1" applyFill="1" applyBorder="1" applyProtection="1"/>
    <xf numFmtId="42" fontId="16" fillId="6" borderId="23" xfId="0" applyNumberFormat="1" applyFont="1" applyFill="1" applyBorder="1" applyProtection="1"/>
    <xf numFmtId="42" fontId="15" fillId="0" borderId="392" xfId="0" applyNumberFormat="1" applyFont="1" applyFill="1" applyBorder="1" applyAlignment="1" applyProtection="1">
      <protection locked="0"/>
    </xf>
    <xf numFmtId="42" fontId="15" fillId="0" borderId="393" xfId="0" applyNumberFormat="1" applyFont="1" applyFill="1" applyBorder="1" applyAlignment="1" applyProtection="1">
      <protection locked="0"/>
    </xf>
    <xf numFmtId="42" fontId="15" fillId="0" borderId="394" xfId="0" applyNumberFormat="1" applyFont="1" applyFill="1" applyBorder="1" applyAlignment="1" applyProtection="1">
      <protection locked="0"/>
    </xf>
    <xf numFmtId="42" fontId="15" fillId="0" borderId="386" xfId="0" applyNumberFormat="1" applyFont="1" applyFill="1" applyBorder="1" applyAlignment="1" applyProtection="1">
      <alignment horizontal="right"/>
      <protection locked="0"/>
    </xf>
    <xf numFmtId="42" fontId="15" fillId="0" borderId="387" xfId="0" applyNumberFormat="1" applyFont="1" applyFill="1" applyBorder="1" applyAlignment="1" applyProtection="1">
      <alignment horizontal="right"/>
      <protection locked="0"/>
    </xf>
    <xf numFmtId="42" fontId="15" fillId="0" borderId="388" xfId="0" applyNumberFormat="1" applyFont="1" applyFill="1" applyBorder="1" applyAlignment="1" applyProtection="1">
      <alignment horizontal="right"/>
      <protection locked="0"/>
    </xf>
    <xf numFmtId="42" fontId="15" fillId="0" borderId="389" xfId="0" applyNumberFormat="1" applyFont="1" applyFill="1" applyBorder="1" applyAlignment="1" applyProtection="1">
      <alignment horizontal="right"/>
      <protection locked="0"/>
    </xf>
    <xf numFmtId="42" fontId="15" fillId="0" borderId="390" xfId="0" applyNumberFormat="1" applyFont="1" applyFill="1" applyBorder="1" applyAlignment="1" applyProtection="1">
      <alignment horizontal="right"/>
      <protection locked="0"/>
    </xf>
    <xf numFmtId="42" fontId="15" fillId="0" borderId="338" xfId="0" applyNumberFormat="1" applyFont="1" applyFill="1" applyBorder="1" applyAlignment="1" applyProtection="1">
      <alignment horizontal="right"/>
      <protection locked="0"/>
    </xf>
    <xf numFmtId="42" fontId="15" fillId="0" borderId="391" xfId="0" applyNumberFormat="1" applyFont="1" applyFill="1" applyBorder="1" applyAlignment="1" applyProtection="1">
      <alignment horizontal="right"/>
      <protection locked="0"/>
    </xf>
    <xf numFmtId="42" fontId="16" fillId="6" borderId="87" xfId="0" applyNumberFormat="1" applyFont="1" applyFill="1" applyBorder="1" applyAlignment="1" applyProtection="1"/>
    <xf numFmtId="42" fontId="16" fillId="6" borderId="152" xfId="0" applyNumberFormat="1" applyFont="1" applyFill="1" applyBorder="1" applyAlignment="1" applyProtection="1">
      <alignment horizontal="right"/>
    </xf>
    <xf numFmtId="42" fontId="16" fillId="6" borderId="148" xfId="0" applyNumberFormat="1" applyFont="1" applyFill="1" applyBorder="1" applyAlignment="1" applyProtection="1">
      <alignment horizontal="right"/>
    </xf>
    <xf numFmtId="42" fontId="16"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5" fillId="0" borderId="265" xfId="0" applyNumberFormat="1" applyFont="1" applyFill="1" applyBorder="1" applyAlignment="1" applyProtection="1">
      <protection locked="0"/>
    </xf>
    <xf numFmtId="0" fontId="73" fillId="0" borderId="42" xfId="0" applyFont="1" applyBorder="1" applyProtection="1"/>
    <xf numFmtId="0" fontId="73" fillId="0" borderId="0" xfId="0" applyFont="1" applyBorder="1" applyProtection="1"/>
    <xf numFmtId="0" fontId="73" fillId="0" borderId="43" xfId="0" applyFont="1" applyBorder="1" applyProtection="1"/>
    <xf numFmtId="0" fontId="74" fillId="0" borderId="0" xfId="0" applyFont="1" applyProtection="1">
      <protection locked="0"/>
    </xf>
    <xf numFmtId="42" fontId="73" fillId="6" borderId="87" xfId="0" applyNumberFormat="1" applyFont="1" applyFill="1" applyBorder="1" applyProtection="1"/>
    <xf numFmtId="42" fontId="53" fillId="6" borderId="233" xfId="0" applyNumberFormat="1" applyFont="1" applyFill="1" applyBorder="1" applyProtection="1"/>
    <xf numFmtId="169" fontId="15" fillId="0" borderId="245" xfId="0" applyNumberFormat="1" applyFont="1" applyFill="1" applyBorder="1" applyAlignment="1" applyProtection="1">
      <protection locked="0"/>
    </xf>
    <xf numFmtId="169" fontId="15" fillId="0" borderId="250" xfId="0" applyNumberFormat="1" applyFont="1" applyFill="1" applyBorder="1" applyAlignment="1" applyProtection="1">
      <protection locked="0"/>
    </xf>
    <xf numFmtId="170" fontId="15" fillId="0" borderId="268" xfId="0" applyNumberFormat="1" applyFont="1" applyFill="1" applyBorder="1" applyAlignment="1" applyProtection="1">
      <protection locked="0"/>
    </xf>
    <xf numFmtId="170" fontId="15" fillId="0" borderId="273"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62" xfId="0" applyFont="1" applyBorder="1" applyAlignment="1" applyProtection="1">
      <alignment vertical="center"/>
      <protection locked="0"/>
    </xf>
    <xf numFmtId="0" fontId="3" fillId="0" borderId="450"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5"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19" fillId="0" borderId="6" xfId="0" applyFont="1" applyFill="1" applyBorder="1" applyAlignment="1" applyProtection="1">
      <alignment horizontal="left"/>
    </xf>
    <xf numFmtId="0" fontId="19" fillId="16" borderId="54" xfId="0" applyFont="1" applyFill="1" applyBorder="1" applyAlignment="1" applyProtection="1">
      <alignment horizontal="center" wrapText="1"/>
    </xf>
    <xf numFmtId="0" fontId="19" fillId="16" borderId="234" xfId="0" applyFont="1" applyFill="1" applyBorder="1" applyAlignment="1" applyProtection="1">
      <alignment horizontal="left" wrapText="1"/>
    </xf>
    <xf numFmtId="0" fontId="19" fillId="16" borderId="234" xfId="0" applyFont="1" applyFill="1" applyBorder="1" applyAlignment="1" applyProtection="1">
      <alignment horizontal="center" wrapText="1"/>
    </xf>
    <xf numFmtId="0" fontId="39" fillId="16" borderId="234" xfId="0" applyFont="1" applyFill="1" applyBorder="1" applyProtection="1"/>
    <xf numFmtId="0" fontId="2" fillId="16" borderId="55" xfId="0" applyFont="1" applyFill="1" applyBorder="1" applyAlignment="1" applyProtection="1">
      <alignment horizontal="left"/>
    </xf>
    <xf numFmtId="0" fontId="0" fillId="0" borderId="472" xfId="0" applyFont="1" applyFill="1" applyBorder="1" applyAlignment="1" applyProtection="1">
      <alignment horizontal="center"/>
    </xf>
    <xf numFmtId="0" fontId="0" fillId="0" borderId="476" xfId="0" applyFont="1" applyFill="1" applyBorder="1" applyProtection="1"/>
    <xf numFmtId="0" fontId="15" fillId="0" borderId="477" xfId="0" applyFont="1" applyFill="1" applyBorder="1" applyAlignment="1" applyProtection="1">
      <alignment horizontal="center" vertical="top" wrapText="1"/>
      <protection locked="0"/>
    </xf>
    <xf numFmtId="0" fontId="0" fillId="0" borderId="478" xfId="0" applyFont="1" applyFill="1" applyBorder="1" applyAlignment="1" applyProtection="1">
      <alignment horizontal="center"/>
    </xf>
    <xf numFmtId="0" fontId="0" fillId="0" borderId="482" xfId="0" applyFont="1" applyFill="1" applyBorder="1" applyProtection="1"/>
    <xf numFmtId="0" fontId="1" fillId="0" borderId="483" xfId="0" applyFont="1" applyFill="1" applyBorder="1" applyAlignment="1" applyProtection="1">
      <alignment horizontal="center"/>
    </xf>
    <xf numFmtId="0" fontId="0" fillId="0" borderId="484" xfId="0" applyFont="1" applyFill="1" applyBorder="1" applyProtection="1"/>
    <xf numFmtId="0" fontId="0" fillId="0" borderId="483"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4" xfId="0" applyFont="1" applyFill="1" applyBorder="1" applyProtection="1"/>
    <xf numFmtId="0" fontId="1" fillId="8" borderId="234"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3"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19"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1" xfId="0" applyFont="1" applyFill="1" applyBorder="1" applyAlignment="1" applyProtection="1">
      <alignment horizontal="center"/>
    </xf>
    <xf numFmtId="0" fontId="0" fillId="0" borderId="492" xfId="0" applyFont="1" applyFill="1" applyBorder="1" applyProtection="1"/>
    <xf numFmtId="0" fontId="48" fillId="0" borderId="34" xfId="0" applyFont="1" applyFill="1" applyBorder="1" applyProtection="1"/>
    <xf numFmtId="0" fontId="0" fillId="0" borderId="491"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1"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498" xfId="0" applyFont="1" applyFill="1" applyBorder="1" applyProtection="1"/>
    <xf numFmtId="0" fontId="1" fillId="0" borderId="491" xfId="0" applyNumberFormat="1" applyFont="1" applyFill="1" applyBorder="1" applyAlignment="1" applyProtection="1">
      <alignment horizontal="center"/>
    </xf>
    <xf numFmtId="0" fontId="0" fillId="0" borderId="499" xfId="0" applyFont="1" applyFill="1" applyBorder="1" applyProtection="1"/>
    <xf numFmtId="0" fontId="19" fillId="29" borderId="54" xfId="0" applyFont="1" applyFill="1" applyBorder="1" applyAlignment="1" applyProtection="1">
      <alignment horizontal="center" wrapText="1"/>
    </xf>
    <xf numFmtId="0" fontId="19" fillId="29" borderId="234" xfId="0" applyFont="1" applyFill="1" applyBorder="1" applyAlignment="1" applyProtection="1">
      <alignment horizontal="left" wrapText="1"/>
    </xf>
    <xf numFmtId="0" fontId="19" fillId="29" borderId="234" xfId="0" applyFont="1" applyFill="1" applyBorder="1" applyAlignment="1" applyProtection="1">
      <alignment horizontal="center" wrapText="1"/>
    </xf>
    <xf numFmtId="0" fontId="39" fillId="29" borderId="234" xfId="0" applyFont="1" applyFill="1" applyBorder="1" applyProtection="1"/>
    <xf numFmtId="0" fontId="2" fillId="29" borderId="55" xfId="0" applyFont="1" applyFill="1" applyBorder="1" applyAlignment="1" applyProtection="1">
      <alignment horizontal="left"/>
    </xf>
    <xf numFmtId="0" fontId="0" fillId="0" borderId="500" xfId="0" applyFont="1" applyFill="1" applyBorder="1" applyAlignment="1" applyProtection="1">
      <alignment horizontal="center"/>
    </xf>
    <xf numFmtId="0" fontId="0" fillId="0" borderId="474" xfId="0" applyFont="1" applyFill="1" applyBorder="1" applyProtection="1"/>
    <xf numFmtId="0" fontId="0" fillId="0" borderId="502" xfId="0" applyFont="1" applyFill="1" applyBorder="1" applyAlignment="1" applyProtection="1">
      <alignment horizontal="center"/>
    </xf>
    <xf numFmtId="16" fontId="0" fillId="0" borderId="503" xfId="0" applyNumberFormat="1" applyFont="1" applyFill="1" applyBorder="1" applyProtection="1"/>
    <xf numFmtId="0" fontId="0" fillId="0" borderId="480" xfId="0" applyFont="1" applyFill="1" applyBorder="1" applyProtection="1"/>
    <xf numFmtId="0" fontId="1" fillId="0" borderId="504" xfId="0" applyNumberFormat="1" applyFont="1" applyFill="1" applyBorder="1" applyAlignment="1" applyProtection="1">
      <alignment horizontal="center"/>
    </xf>
    <xf numFmtId="0" fontId="0" fillId="0" borderId="507" xfId="0" applyFont="1" applyFill="1" applyBorder="1" applyProtection="1"/>
    <xf numFmtId="0" fontId="1" fillId="0" borderId="509" xfId="0" applyFont="1" applyFill="1" applyBorder="1" applyAlignment="1" applyProtection="1">
      <alignment horizontal="center"/>
    </xf>
    <xf numFmtId="16" fontId="0" fillId="0" borderId="486" xfId="0" applyNumberFormat="1" applyFont="1" applyFill="1" applyBorder="1" applyProtection="1"/>
    <xf numFmtId="16" fontId="1" fillId="0" borderId="486" xfId="0" applyNumberFormat="1" applyFont="1" applyFill="1" applyBorder="1" applyProtection="1"/>
    <xf numFmtId="0" fontId="0" fillId="0" borderId="510"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1" xfId="0" applyFont="1" applyFill="1" applyBorder="1" applyAlignment="1" applyProtection="1">
      <alignment horizontal="center"/>
    </xf>
    <xf numFmtId="0" fontId="1" fillId="0" borderId="511"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2" xfId="0" applyFont="1" applyFill="1" applyBorder="1" applyAlignment="1" applyProtection="1">
      <alignment horizontal="center"/>
    </xf>
    <xf numFmtId="0" fontId="0" fillId="0" borderId="515" xfId="0" applyFont="1" applyFill="1" applyBorder="1" applyAlignment="1" applyProtection="1">
      <alignment horizontal="center"/>
    </xf>
    <xf numFmtId="0" fontId="0" fillId="0" borderId="505" xfId="0" applyFont="1" applyFill="1" applyBorder="1" applyProtection="1"/>
    <xf numFmtId="0" fontId="1" fillId="0" borderId="515" xfId="0" applyNumberFormat="1" applyFont="1" applyFill="1" applyBorder="1" applyAlignment="1" applyProtection="1">
      <alignment horizontal="center"/>
    </xf>
    <xf numFmtId="0" fontId="0" fillId="0" borderId="515" xfId="0" quotePrefix="1" applyNumberFormat="1" applyFont="1" applyFill="1" applyBorder="1" applyAlignment="1" applyProtection="1">
      <alignment horizontal="center"/>
    </xf>
    <xf numFmtId="0" fontId="1" fillId="0" borderId="515" xfId="0" applyFont="1" applyFill="1" applyBorder="1" applyAlignment="1" applyProtection="1">
      <alignment horizontal="center"/>
    </xf>
    <xf numFmtId="0" fontId="1" fillId="0" borderId="517" xfId="0" applyFont="1" applyFill="1" applyBorder="1" applyAlignment="1" applyProtection="1">
      <alignment horizontal="center"/>
    </xf>
    <xf numFmtId="0" fontId="1" fillId="0" borderId="512" xfId="0" applyNumberFormat="1" applyFont="1" applyFill="1" applyBorder="1" applyAlignment="1" applyProtection="1">
      <alignment horizontal="center"/>
    </xf>
    <xf numFmtId="0" fontId="0" fillId="0" borderId="520" xfId="0" applyFont="1" applyFill="1" applyBorder="1" applyProtection="1"/>
    <xf numFmtId="0" fontId="0" fillId="0" borderId="521"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15"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15" xfId="0" quotePrefix="1" applyNumberFormat="1" applyFont="1" applyFill="1" applyBorder="1" applyAlignment="1" applyProtection="1">
      <alignment horizontal="center"/>
    </xf>
    <xf numFmtId="0" fontId="1" fillId="0" borderId="35" xfId="0" applyFont="1" applyFill="1" applyBorder="1" applyProtection="1"/>
    <xf numFmtId="0" fontId="0" fillId="0" borderId="522" xfId="0" applyFont="1" applyFill="1" applyBorder="1" applyAlignment="1" applyProtection="1">
      <alignment horizontal="center"/>
    </xf>
    <xf numFmtId="16" fontId="0" fillId="0" borderId="523" xfId="0" applyNumberFormat="1" applyFont="1" applyFill="1" applyBorder="1" applyProtection="1"/>
    <xf numFmtId="16" fontId="1" fillId="0" borderId="524" xfId="0" applyNumberFormat="1" applyFont="1" applyFill="1" applyBorder="1" applyProtection="1"/>
    <xf numFmtId="16" fontId="1" fillId="0" borderId="525" xfId="0" applyNumberFormat="1" applyFont="1" applyFill="1" applyBorder="1" applyProtection="1"/>
    <xf numFmtId="0" fontId="1" fillId="0" borderId="517" xfId="0" applyNumberFormat="1" applyFont="1" applyFill="1" applyBorder="1" applyAlignment="1" applyProtection="1">
      <alignment horizontal="center"/>
    </xf>
    <xf numFmtId="0" fontId="1" fillId="0" borderId="526" xfId="0" applyFont="1" applyFill="1" applyBorder="1" applyAlignment="1" applyProtection="1">
      <alignment horizontal="right"/>
    </xf>
    <xf numFmtId="0" fontId="1" fillId="6" borderId="527" xfId="0" applyFont="1" applyFill="1" applyBorder="1" applyProtection="1"/>
    <xf numFmtId="0" fontId="1" fillId="0" borderId="528" xfId="0" applyFont="1" applyFill="1" applyBorder="1" applyAlignment="1" applyProtection="1">
      <alignment horizontal="right"/>
    </xf>
    <xf numFmtId="0" fontId="1" fillId="6" borderId="529" xfId="0" applyFont="1" applyFill="1" applyBorder="1" applyProtection="1"/>
    <xf numFmtId="0" fontId="1" fillId="0" borderId="530" xfId="0" applyFont="1" applyFill="1" applyBorder="1" applyAlignment="1" applyProtection="1">
      <alignment horizontal="right"/>
    </xf>
    <xf numFmtId="0" fontId="1" fillId="6" borderId="531"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3" xfId="0" applyFont="1" applyBorder="1" applyAlignment="1">
      <alignment horizontal="center" vertical="center"/>
    </xf>
    <xf numFmtId="0" fontId="1" fillId="8" borderId="472" xfId="0" applyFont="1" applyFill="1" applyBorder="1" applyAlignment="1" applyProtection="1">
      <alignment horizontal="center"/>
    </xf>
    <xf numFmtId="0" fontId="0" fillId="8" borderId="532" xfId="0" applyFill="1" applyBorder="1" applyProtection="1"/>
    <xf numFmtId="0" fontId="0" fillId="30" borderId="233" xfId="0" applyFill="1" applyBorder="1" applyAlignment="1">
      <alignment horizontal="center" vertical="center"/>
    </xf>
    <xf numFmtId="0" fontId="0" fillId="0" borderId="233" xfId="0" applyBorder="1" applyAlignment="1">
      <alignment horizontal="center"/>
    </xf>
    <xf numFmtId="0" fontId="1" fillId="8" borderId="509" xfId="0" applyFont="1" applyFill="1" applyBorder="1" applyAlignment="1" applyProtection="1">
      <alignment horizontal="center"/>
    </xf>
    <xf numFmtId="0" fontId="0" fillId="8" borderId="533" xfId="0" applyFill="1" applyBorder="1" applyProtection="1"/>
    <xf numFmtId="0" fontId="1" fillId="8" borderId="25" xfId="0" applyFont="1" applyFill="1" applyBorder="1" applyAlignment="1" applyProtection="1">
      <alignment horizontal="center"/>
    </xf>
    <xf numFmtId="0" fontId="1" fillId="8" borderId="491" xfId="0" applyFont="1" applyFill="1" applyBorder="1" applyAlignment="1" applyProtection="1">
      <alignment horizontal="center"/>
    </xf>
    <xf numFmtId="0" fontId="0" fillId="8" borderId="534" xfId="0" applyFill="1" applyBorder="1" applyProtection="1"/>
    <xf numFmtId="0" fontId="0" fillId="30" borderId="233" xfId="0" applyFill="1" applyBorder="1" applyAlignment="1">
      <alignment horizontal="center" vertical="center" wrapText="1"/>
    </xf>
    <xf numFmtId="0" fontId="0" fillId="0" borderId="0" xfId="0" applyNumberFormat="1" applyAlignment="1">
      <alignment horizontal="center"/>
    </xf>
    <xf numFmtId="0" fontId="0" fillId="8" borderId="491" xfId="0" applyFont="1" applyFill="1" applyBorder="1" applyAlignment="1" applyProtection="1">
      <alignment horizontal="center"/>
    </xf>
    <xf numFmtId="0" fontId="1" fillId="8" borderId="491" xfId="0" quotePrefix="1" applyFont="1" applyFill="1" applyBorder="1" applyAlignment="1" applyProtection="1">
      <alignment horizontal="center"/>
    </xf>
    <xf numFmtId="0" fontId="15" fillId="8" borderId="534"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35" xfId="0" applyFont="1" applyFill="1" applyBorder="1" applyAlignment="1" applyProtection="1">
      <alignment horizontal="center"/>
    </xf>
    <xf numFmtId="0" fontId="0" fillId="8" borderId="476" xfId="0" applyFill="1" applyBorder="1" applyProtection="1"/>
    <xf numFmtId="0" fontId="1" fillId="8" borderId="504" xfId="0" applyFont="1" applyFill="1" applyBorder="1" applyAlignment="1" applyProtection="1">
      <alignment horizontal="center"/>
    </xf>
    <xf numFmtId="0" fontId="0" fillId="8" borderId="536" xfId="0" applyFill="1" applyBorder="1" applyProtection="1"/>
    <xf numFmtId="0" fontId="0" fillId="0" borderId="0" xfId="0" applyNumberFormat="1" applyBorder="1" applyAlignment="1">
      <alignment horizontal="center"/>
    </xf>
    <xf numFmtId="0" fontId="0" fillId="8" borderId="537" xfId="0" applyFill="1" applyBorder="1" applyProtection="1"/>
    <xf numFmtId="0" fontId="1" fillId="8" borderId="512" xfId="0" applyFont="1" applyFill="1" applyBorder="1" applyAlignment="1" applyProtection="1">
      <alignment horizontal="center"/>
    </xf>
    <xf numFmtId="0" fontId="0" fillId="8" borderId="538" xfId="0" applyFill="1" applyBorder="1" applyProtection="1"/>
    <xf numFmtId="0" fontId="0" fillId="8" borderId="515" xfId="0" applyFont="1" applyFill="1" applyBorder="1" applyAlignment="1" applyProtection="1">
      <alignment horizontal="center"/>
    </xf>
    <xf numFmtId="0" fontId="0" fillId="8" borderId="539" xfId="0" applyFill="1" applyBorder="1" applyProtection="1"/>
    <xf numFmtId="0" fontId="1" fillId="8" borderId="515" xfId="0" applyFont="1" applyFill="1" applyBorder="1" applyAlignment="1" applyProtection="1">
      <alignment horizontal="center"/>
    </xf>
    <xf numFmtId="0" fontId="15" fillId="8" borderId="539" xfId="0" applyFont="1" applyFill="1" applyBorder="1" applyProtection="1"/>
    <xf numFmtId="16" fontId="0" fillId="30" borderId="233" xfId="0" quotePrefix="1" applyNumberFormat="1" applyFill="1" applyBorder="1" applyAlignment="1">
      <alignment horizontal="center" vertical="center" wrapText="1"/>
    </xf>
    <xf numFmtId="0" fontId="1" fillId="8" borderId="517" xfId="0" applyFont="1" applyFill="1" applyBorder="1" applyAlignment="1" applyProtection="1">
      <alignment horizontal="center"/>
    </xf>
    <xf numFmtId="0" fontId="0" fillId="8" borderId="540" xfId="0" applyFill="1" applyBorder="1" applyProtection="1"/>
    <xf numFmtId="0" fontId="0" fillId="0" borderId="233" xfId="0" quotePrefix="1" applyBorder="1" applyAlignment="1">
      <alignment horizontal="center"/>
    </xf>
    <xf numFmtId="0" fontId="1" fillId="8" borderId="515" xfId="0" applyFont="1" applyFill="1" applyBorder="1" applyAlignment="1" applyProtection="1">
      <alignment horizontal="center" vertical="top"/>
    </xf>
    <xf numFmtId="0" fontId="1" fillId="8" borderId="541" xfId="0" applyFont="1" applyFill="1" applyBorder="1" applyAlignment="1" applyProtection="1">
      <alignment horizontal="center"/>
    </xf>
    <xf numFmtId="0" fontId="0" fillId="8" borderId="542"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78" xfId="0" applyFont="1" applyFill="1" applyBorder="1" applyAlignment="1" applyProtection="1">
      <alignment horizontal="center"/>
    </xf>
    <xf numFmtId="0" fontId="0" fillId="8" borderId="543" xfId="0" applyFill="1" applyBorder="1" applyProtection="1"/>
    <xf numFmtId="0" fontId="3" fillId="8" borderId="544" xfId="0" applyFont="1" applyFill="1" applyBorder="1" applyAlignment="1" applyProtection="1">
      <alignment wrapText="1"/>
    </xf>
    <xf numFmtId="0" fontId="0" fillId="0" borderId="4" xfId="0" applyBorder="1" applyAlignment="1">
      <alignment horizontal="center"/>
    </xf>
    <xf numFmtId="0" fontId="3" fillId="8" borderId="545" xfId="0" applyFont="1" applyFill="1" applyBorder="1" applyAlignment="1" applyProtection="1">
      <alignment wrapText="1"/>
    </xf>
    <xf numFmtId="0" fontId="0" fillId="0" borderId="177" xfId="0" applyNumberFormat="1" applyBorder="1" applyAlignment="1">
      <alignment horizontal="center"/>
    </xf>
    <xf numFmtId="0" fontId="0" fillId="0" borderId="546" xfId="0" applyFill="1" applyBorder="1" applyProtection="1"/>
    <xf numFmtId="0" fontId="0" fillId="0" borderId="547" xfId="0" applyFill="1" applyBorder="1" applyProtection="1"/>
    <xf numFmtId="0" fontId="0" fillId="0" borderId="548" xfId="0" applyBorder="1" applyAlignment="1">
      <alignment horizontal="center"/>
    </xf>
    <xf numFmtId="16" fontId="0" fillId="0" borderId="233" xfId="0" quotePrefix="1" applyNumberFormat="1" applyBorder="1" applyAlignment="1">
      <alignment horizontal="center"/>
    </xf>
    <xf numFmtId="0" fontId="1" fillId="8" borderId="0" xfId="0" applyFont="1" applyFill="1" applyBorder="1" applyAlignment="1" applyProtection="1">
      <alignment horizontal="center"/>
    </xf>
    <xf numFmtId="0" fontId="0" fillId="8" borderId="549" xfId="0" applyFill="1" applyBorder="1" applyProtection="1"/>
    <xf numFmtId="0" fontId="3" fillId="8" borderId="550"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1" xfId="0" applyFill="1" applyBorder="1" applyProtection="1"/>
    <xf numFmtId="0" fontId="0" fillId="30" borderId="548" xfId="0" applyFill="1" applyBorder="1" applyAlignment="1">
      <alignment horizontal="center" vertical="center" wrapText="1"/>
    </xf>
    <xf numFmtId="0" fontId="0" fillId="0" borderId="546" xfId="0" applyBorder="1"/>
    <xf numFmtId="0" fontId="0" fillId="30" borderId="4" xfId="0" applyFill="1" applyBorder="1" applyAlignment="1">
      <alignment horizontal="center" vertical="center" wrapText="1"/>
    </xf>
    <xf numFmtId="0" fontId="3" fillId="8" borderId="552"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46" xfId="0" applyBorder="1" applyProtection="1"/>
    <xf numFmtId="0" fontId="0" fillId="0" borderId="547"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3"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2" fillId="0" borderId="393" xfId="0" applyNumberFormat="1" applyFont="1" applyFill="1" applyBorder="1" applyAlignment="1" applyProtection="1">
      <alignment vertical="center"/>
      <protection locked="0"/>
    </xf>
    <xf numFmtId="42" fontId="22" fillId="0" borderId="394" xfId="0" applyNumberFormat="1" applyFont="1" applyFill="1" applyBorder="1" applyAlignment="1" applyProtection="1">
      <alignment vertical="center"/>
      <protection locked="0"/>
    </xf>
    <xf numFmtId="42" fontId="22" fillId="0" borderId="222" xfId="0" applyNumberFormat="1" applyFont="1" applyFill="1" applyBorder="1" applyAlignment="1" applyProtection="1">
      <alignment vertical="center"/>
      <protection locked="0"/>
    </xf>
    <xf numFmtId="166" fontId="15" fillId="28" borderId="0" xfId="0" applyNumberFormat="1" applyFont="1" applyFill="1" applyBorder="1" applyAlignment="1" applyProtection="1">
      <alignment horizontal="right" wrapText="1"/>
    </xf>
    <xf numFmtId="166" fontId="16" fillId="0" borderId="58" xfId="0" applyNumberFormat="1" applyFont="1" applyFill="1" applyBorder="1" applyAlignment="1" applyProtection="1">
      <alignment horizontal="right"/>
    </xf>
    <xf numFmtId="166" fontId="16" fillId="0" borderId="555" xfId="0" applyNumberFormat="1" applyFont="1" applyFill="1" applyBorder="1" applyProtection="1"/>
    <xf numFmtId="9" fontId="15" fillId="0" borderId="338" xfId="0" applyNumberFormat="1" applyFont="1" applyFill="1" applyBorder="1" applyAlignment="1" applyProtection="1">
      <alignment horizontal="right" wrapText="1"/>
      <protection locked="0"/>
    </xf>
    <xf numFmtId="0" fontId="23" fillId="0" borderId="0" xfId="0" applyFont="1"/>
    <xf numFmtId="0" fontId="23" fillId="0" borderId="217" xfId="0" applyFont="1" applyBorder="1"/>
    <xf numFmtId="0" fontId="23" fillId="0" borderId="201" xfId="0" applyFont="1" applyBorder="1"/>
    <xf numFmtId="0" fontId="23" fillId="0" borderId="220" xfId="0" applyFont="1" applyBorder="1"/>
    <xf numFmtId="0" fontId="23" fillId="0" borderId="553" xfId="0" applyFont="1" applyBorder="1"/>
    <xf numFmtId="0" fontId="23" fillId="0" borderId="163" xfId="0" applyFont="1" applyBorder="1"/>
    <xf numFmtId="0" fontId="23" fillId="0" borderId="442" xfId="0" applyFont="1" applyBorder="1"/>
    <xf numFmtId="0" fontId="23" fillId="0" borderId="443" xfId="0" applyFont="1" applyBorder="1"/>
    <xf numFmtId="0" fontId="23" fillId="0" borderId="3" xfId="0" applyFont="1" applyBorder="1"/>
    <xf numFmtId="0" fontId="23" fillId="0" borderId="0" xfId="0" applyFont="1" applyBorder="1"/>
    <xf numFmtId="0" fontId="39" fillId="0" borderId="163" xfId="0" applyFont="1" applyBorder="1"/>
    <xf numFmtId="0" fontId="39" fillId="0" borderId="442" xfId="0" applyFont="1" applyBorder="1"/>
    <xf numFmtId="0" fontId="39" fillId="0" borderId="443" xfId="0" applyFont="1" applyBorder="1"/>
    <xf numFmtId="0" fontId="77" fillId="0" borderId="0" xfId="0" applyFont="1" applyBorder="1"/>
    <xf numFmtId="0" fontId="39" fillId="0" borderId="0" xfId="0" applyFont="1"/>
    <xf numFmtId="0" fontId="23" fillId="0" borderId="12" xfId="0" applyFont="1" applyBorder="1"/>
    <xf numFmtId="0" fontId="23" fillId="0" borderId="77" xfId="0" applyFont="1" applyBorder="1"/>
    <xf numFmtId="0" fontId="23" fillId="0" borderId="229" xfId="0" applyFont="1" applyBorder="1"/>
    <xf numFmtId="0" fontId="39" fillId="6" borderId="151" xfId="0" applyFont="1" applyFill="1" applyBorder="1"/>
    <xf numFmtId="0" fontId="15" fillId="16" borderId="17" xfId="0" applyFont="1" applyFill="1" applyBorder="1" applyAlignment="1" applyProtection="1">
      <alignment wrapText="1"/>
    </xf>
    <xf numFmtId="166" fontId="15" fillId="16" borderId="17" xfId="0" applyNumberFormat="1" applyFont="1" applyFill="1" applyBorder="1" applyAlignment="1" applyProtection="1">
      <alignment wrapText="1"/>
    </xf>
    <xf numFmtId="9" fontId="15" fillId="16" borderId="17" xfId="0" applyNumberFormat="1" applyFont="1" applyFill="1" applyBorder="1" applyAlignment="1" applyProtection="1">
      <alignment wrapText="1"/>
    </xf>
    <xf numFmtId="166" fontId="15" fillId="16" borderId="23" xfId="0" applyNumberFormat="1" applyFont="1" applyFill="1" applyBorder="1" applyAlignment="1" applyProtection="1">
      <alignment wrapText="1"/>
    </xf>
    <xf numFmtId="0" fontId="0" fillId="0" borderId="557" xfId="0" applyFont="1" applyFill="1" applyBorder="1" applyProtection="1"/>
    <xf numFmtId="0" fontId="0" fillId="0" borderId="556" xfId="0" applyFont="1" applyFill="1" applyBorder="1" applyProtection="1"/>
    <xf numFmtId="3" fontId="14" fillId="0" borderId="198" xfId="0" applyNumberFormat="1" applyFont="1" applyFill="1" applyBorder="1" applyAlignment="1" applyProtection="1">
      <alignment horizontal="left"/>
    </xf>
    <xf numFmtId="0" fontId="0" fillId="0" borderId="198" xfId="0" applyFont="1" applyFill="1" applyBorder="1" applyProtection="1"/>
    <xf numFmtId="0" fontId="0" fillId="0" borderId="558" xfId="0" applyFont="1" applyFill="1" applyBorder="1" applyProtection="1"/>
    <xf numFmtId="3" fontId="3" fillId="26" borderId="73" xfId="0" applyNumberFormat="1" applyFont="1" applyFill="1" applyBorder="1" applyAlignment="1" applyProtection="1">
      <alignment horizontal="center" vertical="center" wrapText="1"/>
    </xf>
    <xf numFmtId="0" fontId="15" fillId="0" borderId="0" xfId="0" applyFont="1" applyFill="1" applyBorder="1" applyAlignment="1" applyProtection="1"/>
    <xf numFmtId="0" fontId="20" fillId="16" borderId="0" xfId="0" applyFont="1" applyFill="1" applyBorder="1" applyAlignment="1" applyProtection="1"/>
    <xf numFmtId="0" fontId="15" fillId="16" borderId="54" xfId="0" applyFont="1" applyFill="1" applyBorder="1" applyAlignment="1" applyProtection="1"/>
    <xf numFmtId="42" fontId="5" fillId="24" borderId="559" xfId="0" applyNumberFormat="1" applyFont="1" applyFill="1" applyBorder="1" applyAlignment="1" applyProtection="1">
      <alignment vertical="center"/>
    </xf>
    <xf numFmtId="42" fontId="7" fillId="0" borderId="289" xfId="0" applyNumberFormat="1" applyFont="1" applyFill="1" applyBorder="1" applyAlignment="1" applyProtection="1">
      <protection locked="0"/>
    </xf>
    <xf numFmtId="0" fontId="19"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0" fillId="0" borderId="33" xfId="0" applyBorder="1" applyProtection="1"/>
    <xf numFmtId="0" fontId="23" fillId="0" borderId="0" xfId="0" applyFont="1" applyProtection="1"/>
    <xf numFmtId="0" fontId="0" fillId="0" borderId="123" xfId="0" applyBorder="1" applyProtection="1"/>
    <xf numFmtId="0" fontId="39" fillId="16" borderId="215"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4" fillId="0" borderId="0" xfId="0" applyFont="1" applyFill="1" applyBorder="1" applyAlignment="1" applyProtection="1">
      <protection locked="0"/>
    </xf>
    <xf numFmtId="0" fontId="15"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19" xfId="0" applyFont="1" applyFill="1" applyBorder="1" applyAlignment="1" applyProtection="1"/>
    <xf numFmtId="0" fontId="15" fillId="8" borderId="275" xfId="0" applyFont="1" applyFill="1" applyBorder="1" applyAlignment="1" applyProtection="1"/>
    <xf numFmtId="0" fontId="0" fillId="8" borderId="450" xfId="0" applyFont="1" applyFill="1" applyBorder="1" applyAlignment="1" applyProtection="1"/>
    <xf numFmtId="42" fontId="22" fillId="12" borderId="56" xfId="0" applyNumberFormat="1" applyFont="1" applyFill="1" applyBorder="1" applyAlignment="1" applyProtection="1">
      <alignment vertical="center"/>
    </xf>
    <xf numFmtId="42" fontId="22" fillId="12" borderId="83" xfId="0" applyNumberFormat="1" applyFont="1" applyFill="1" applyBorder="1" applyAlignment="1" applyProtection="1">
      <alignment vertical="center"/>
    </xf>
    <xf numFmtId="42" fontId="22" fillId="12" borderId="50" xfId="0" applyNumberFormat="1" applyFont="1" applyFill="1" applyBorder="1" applyAlignment="1" applyProtection="1">
      <alignment vertical="center"/>
    </xf>
    <xf numFmtId="42" fontId="22" fillId="12" borderId="18" xfId="0" applyNumberFormat="1" applyFont="1" applyFill="1" applyBorder="1" applyAlignment="1" applyProtection="1">
      <alignment vertical="center"/>
    </xf>
    <xf numFmtId="42" fontId="22" fillId="12" borderId="89" xfId="0" applyNumberFormat="1" applyFont="1" applyFill="1" applyBorder="1" applyAlignment="1" applyProtection="1">
      <alignment vertical="center"/>
    </xf>
    <xf numFmtId="42" fontId="22" fillId="12" borderId="144" xfId="0" applyNumberFormat="1" applyFont="1" applyFill="1" applyBorder="1" applyAlignment="1" applyProtection="1">
      <alignment vertical="center"/>
    </xf>
    <xf numFmtId="42" fontId="22" fillId="12" borderId="137" xfId="0" applyNumberFormat="1" applyFont="1" applyFill="1" applyBorder="1" applyAlignment="1" applyProtection="1">
      <alignment vertical="center"/>
    </xf>
    <xf numFmtId="42" fontId="22" fillId="12" borderId="138" xfId="0" applyNumberFormat="1" applyFont="1" applyFill="1" applyBorder="1" applyAlignment="1" applyProtection="1">
      <alignment vertical="center"/>
    </xf>
    <xf numFmtId="0" fontId="53" fillId="6" borderId="261" xfId="0" applyFont="1" applyFill="1" applyBorder="1" applyProtection="1"/>
    <xf numFmtId="0" fontId="0" fillId="0" borderId="42" xfId="0" applyFont="1" applyBorder="1" applyProtection="1"/>
    <xf numFmtId="0" fontId="0" fillId="0" borderId="43" xfId="0" applyFont="1" applyBorder="1" applyProtection="1"/>
    <xf numFmtId="0" fontId="15" fillId="8" borderId="354" xfId="0" applyFont="1" applyFill="1" applyBorder="1" applyAlignment="1" applyProtection="1">
      <alignment vertical="center"/>
    </xf>
    <xf numFmtId="0" fontId="15" fillId="8" borderId="358" xfId="0" applyFont="1" applyFill="1" applyBorder="1" applyAlignment="1" applyProtection="1">
      <alignment vertical="center"/>
    </xf>
    <xf numFmtId="44" fontId="15" fillId="8" borderId="12" xfId="0" applyNumberFormat="1" applyFont="1" applyFill="1" applyBorder="1" applyAlignment="1" applyProtection="1">
      <alignment vertical="center"/>
    </xf>
    <xf numFmtId="44" fontId="15" fillId="8" borderId="259" xfId="0" applyNumberFormat="1" applyFont="1" applyFill="1" applyBorder="1" applyAlignment="1" applyProtection="1"/>
    <xf numFmtId="9" fontId="15" fillId="8" borderId="12" xfId="0" applyNumberFormat="1" applyFont="1" applyFill="1" applyBorder="1" applyAlignment="1" applyProtection="1"/>
    <xf numFmtId="1" fontId="15" fillId="8" borderId="259" xfId="0" applyNumberFormat="1" applyFont="1" applyFill="1" applyBorder="1" applyAlignment="1" applyProtection="1"/>
    <xf numFmtId="0" fontId="15" fillId="8" borderId="259" xfId="0" applyFont="1" applyFill="1" applyBorder="1" applyAlignment="1" applyProtection="1"/>
    <xf numFmtId="0" fontId="15" fillId="8" borderId="354" xfId="0" applyFont="1" applyFill="1" applyBorder="1" applyAlignment="1" applyProtection="1"/>
    <xf numFmtId="0" fontId="15" fillId="8" borderId="358" xfId="0" applyFont="1" applyFill="1" applyBorder="1" applyAlignment="1" applyProtection="1"/>
    <xf numFmtId="44" fontId="15" fillId="8" borderId="12" xfId="0" applyNumberFormat="1" applyFont="1" applyFill="1" applyBorder="1" applyAlignment="1" applyProtection="1"/>
    <xf numFmtId="166" fontId="15" fillId="8" borderId="12" xfId="0" applyNumberFormat="1" applyFont="1" applyFill="1" applyBorder="1" applyAlignment="1" applyProtection="1"/>
    <xf numFmtId="0" fontId="15" fillId="8" borderId="262" xfId="0" applyFont="1" applyFill="1" applyBorder="1" applyAlignment="1" applyProtection="1"/>
    <xf numFmtId="9" fontId="15" fillId="8" borderId="263" xfId="0" applyNumberFormat="1" applyFont="1" applyFill="1" applyBorder="1" applyAlignment="1" applyProtection="1"/>
    <xf numFmtId="0" fontId="15" fillId="8" borderId="264" xfId="0" applyFont="1" applyFill="1" applyBorder="1" applyAlignment="1" applyProtection="1"/>
    <xf numFmtId="0" fontId="15" fillId="8" borderId="276" xfId="0" applyFont="1" applyFill="1" applyBorder="1" applyAlignment="1" applyProtection="1"/>
    <xf numFmtId="0" fontId="15"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2" fillId="0" borderId="0" xfId="0" applyFont="1" applyFill="1" applyAlignment="1" applyProtection="1">
      <alignment horizontal="right"/>
    </xf>
    <xf numFmtId="44" fontId="0" fillId="6" borderId="87" xfId="0" applyNumberFormat="1" applyFont="1" applyFill="1" applyBorder="1" applyProtection="1"/>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44" fontId="40" fillId="6" borderId="261" xfId="0" applyNumberFormat="1" applyFont="1" applyFill="1" applyBorder="1" applyAlignment="1" applyProtection="1">
      <alignment horizontal="right"/>
    </xf>
    <xf numFmtId="44" fontId="40" fillId="6" borderId="258" xfId="0" applyNumberFormat="1" applyFont="1" applyFill="1" applyBorder="1" applyAlignment="1" applyProtection="1">
      <alignment horizontal="right"/>
    </xf>
    <xf numFmtId="44" fontId="40" fillId="6" borderId="258" xfId="0" applyNumberFormat="1" applyFont="1" applyFill="1" applyBorder="1" applyProtection="1"/>
    <xf numFmtId="44" fontId="40" fillId="6" borderId="378" xfId="0" applyNumberFormat="1" applyFont="1" applyFill="1" applyBorder="1" applyProtection="1"/>
    <xf numFmtId="44" fontId="40" fillId="6" borderId="261" xfId="0" applyNumberFormat="1" applyFont="1" applyFill="1" applyBorder="1" applyProtection="1"/>
    <xf numFmtId="0" fontId="0" fillId="0" borderId="36" xfId="0" applyBorder="1" applyProtection="1"/>
    <xf numFmtId="42" fontId="7"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5"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0" fontId="0" fillId="0" borderId="33" xfId="0" applyFill="1" applyBorder="1" applyProtection="1"/>
    <xf numFmtId="0" fontId="42" fillId="16" borderId="245" xfId="0" applyFont="1" applyFill="1" applyBorder="1" applyAlignment="1" applyProtection="1">
      <alignment horizontal="center" vertical="center" wrapText="1"/>
    </xf>
    <xf numFmtId="6" fontId="19" fillId="16" borderId="287" xfId="0" applyNumberFormat="1" applyFont="1" applyFill="1" applyBorder="1" applyAlignment="1" applyProtection="1"/>
    <xf numFmtId="42" fontId="15" fillId="6" borderId="417" xfId="0" applyNumberFormat="1" applyFont="1" applyFill="1" applyBorder="1" applyAlignment="1" applyProtection="1"/>
    <xf numFmtId="42" fontId="15" fillId="6" borderId="396" xfId="0" applyNumberFormat="1" applyFont="1" applyFill="1" applyBorder="1" applyAlignment="1" applyProtection="1"/>
    <xf numFmtId="42" fontId="15" fillId="6" borderId="447" xfId="0" applyNumberFormat="1" applyFont="1" applyFill="1" applyBorder="1" applyAlignment="1" applyProtection="1"/>
    <xf numFmtId="42" fontId="15" fillId="6" borderId="445" xfId="0" applyNumberFormat="1" applyFont="1" applyFill="1" applyBorder="1" applyAlignment="1" applyProtection="1"/>
    <xf numFmtId="42" fontId="40"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0" fillId="25" borderId="88" xfId="0" applyNumberFormat="1" applyFont="1" applyFill="1" applyBorder="1" applyAlignment="1" applyProtection="1"/>
    <xf numFmtId="42" fontId="15" fillId="6" borderId="383" xfId="0" applyNumberFormat="1" applyFont="1" applyFill="1" applyBorder="1" applyAlignment="1" applyProtection="1">
      <alignment horizontal="right" wrapText="1"/>
    </xf>
    <xf numFmtId="42" fontId="15" fillId="6" borderId="349" xfId="0" applyNumberFormat="1" applyFont="1" applyFill="1" applyBorder="1" applyAlignment="1" applyProtection="1">
      <alignment horizontal="right" wrapText="1"/>
    </xf>
    <xf numFmtId="42" fontId="15" fillId="6" borderId="330" xfId="0" applyNumberFormat="1" applyFont="1" applyFill="1" applyBorder="1" applyAlignment="1" applyProtection="1">
      <alignment horizontal="right" wrapText="1"/>
    </xf>
    <xf numFmtId="42" fontId="15" fillId="6" borderId="331" xfId="0" applyNumberFormat="1" applyFont="1" applyFill="1" applyBorder="1" applyAlignment="1" applyProtection="1">
      <alignment horizontal="right" wrapText="1"/>
    </xf>
    <xf numFmtId="42" fontId="15" fillId="6" borderId="441" xfId="0" applyNumberFormat="1" applyFont="1" applyFill="1" applyBorder="1" applyAlignment="1" applyProtection="1">
      <alignment horizontal="right" wrapText="1"/>
    </xf>
    <xf numFmtId="42" fontId="15" fillId="6" borderId="338" xfId="0" applyNumberFormat="1" applyFont="1" applyFill="1" applyBorder="1" applyAlignment="1" applyProtection="1">
      <alignment horizontal="right" wrapText="1"/>
    </xf>
    <xf numFmtId="42" fontId="15" fillId="6" borderId="384" xfId="0" applyNumberFormat="1" applyFont="1" applyFill="1" applyBorder="1" applyAlignment="1" applyProtection="1">
      <alignment horizontal="right" wrapText="1"/>
    </xf>
    <xf numFmtId="0" fontId="15" fillId="28" borderId="553" xfId="0" applyFont="1" applyFill="1" applyBorder="1" applyProtection="1"/>
    <xf numFmtId="0" fontId="15" fillId="28" borderId="0" xfId="0" applyFont="1" applyFill="1" applyBorder="1" applyProtection="1"/>
    <xf numFmtId="0" fontId="15" fillId="28" borderId="0" xfId="0" applyFont="1" applyFill="1" applyBorder="1" applyAlignment="1" applyProtection="1">
      <alignment horizontal="center"/>
    </xf>
    <xf numFmtId="166" fontId="15" fillId="28" borderId="0" xfId="0" applyNumberFormat="1" applyFont="1" applyFill="1" applyBorder="1" applyAlignment="1" applyProtection="1">
      <alignment horizontal="right"/>
    </xf>
    <xf numFmtId="9" fontId="15" fillId="28" borderId="0" xfId="0" applyNumberFormat="1" applyFont="1" applyFill="1" applyBorder="1" applyAlignment="1" applyProtection="1">
      <alignment horizontal="right" wrapText="1"/>
    </xf>
    <xf numFmtId="42" fontId="15" fillId="6" borderId="294" xfId="0" applyNumberFormat="1" applyFont="1" applyFill="1" applyBorder="1" applyAlignment="1" applyProtection="1">
      <alignment horizontal="right" wrapText="1"/>
    </xf>
    <xf numFmtId="6" fontId="15" fillId="28" borderId="189" xfId="0" applyNumberFormat="1" applyFont="1" applyFill="1" applyBorder="1" applyAlignment="1" applyProtection="1">
      <alignment horizontal="right"/>
    </xf>
    <xf numFmtId="6" fontId="15" fillId="28" borderId="190" xfId="0" applyNumberFormat="1" applyFont="1" applyFill="1" applyBorder="1" applyAlignment="1" applyProtection="1">
      <alignment horizontal="right"/>
    </xf>
    <xf numFmtId="6" fontId="15" fillId="28" borderId="191" xfId="0" applyNumberFormat="1" applyFont="1" applyFill="1" applyBorder="1" applyAlignment="1" applyProtection="1">
      <alignment horizontal="right"/>
    </xf>
    <xf numFmtId="42" fontId="15" fillId="6" borderId="446" xfId="0" applyNumberFormat="1" applyFont="1" applyFill="1" applyBorder="1" applyAlignment="1" applyProtection="1">
      <alignment horizontal="right" wrapText="1"/>
    </xf>
    <xf numFmtId="0" fontId="0" fillId="0" borderId="34" xfId="0" applyFont="1" applyBorder="1" applyProtection="1"/>
    <xf numFmtId="0" fontId="0" fillId="0" borderId="170" xfId="0" applyFont="1" applyFill="1" applyBorder="1" applyProtection="1"/>
    <xf numFmtId="0" fontId="0" fillId="0" borderId="60" xfId="0" applyFont="1" applyFill="1" applyBorder="1" applyProtection="1"/>
    <xf numFmtId="0" fontId="0" fillId="0" borderId="67" xfId="0" applyFont="1" applyFill="1" applyBorder="1" applyProtection="1"/>
    <xf numFmtId="5" fontId="40" fillId="8" borderId="185" xfId="0" applyNumberFormat="1" applyFont="1" applyFill="1" applyBorder="1" applyAlignment="1" applyProtection="1">
      <alignment horizontal="right" vertical="center"/>
    </xf>
    <xf numFmtId="5" fontId="40" fillId="8" borderId="186" xfId="0" applyNumberFormat="1" applyFont="1" applyFill="1" applyBorder="1" applyAlignment="1" applyProtection="1">
      <alignment horizontal="right" vertical="center"/>
    </xf>
    <xf numFmtId="0" fontId="0" fillId="0" borderId="68" xfId="0" applyFont="1" applyFill="1" applyBorder="1" applyProtection="1"/>
    <xf numFmtId="0" fontId="0" fillId="0" borderId="433" xfId="0" applyFont="1" applyFill="1" applyBorder="1" applyProtection="1"/>
    <xf numFmtId="0" fontId="0" fillId="0" borderId="244" xfId="0" applyFont="1" applyFill="1" applyBorder="1" applyProtection="1"/>
    <xf numFmtId="0" fontId="0" fillId="0" borderId="174" xfId="0" applyFont="1" applyFill="1" applyBorder="1" applyProtection="1"/>
    <xf numFmtId="0" fontId="2" fillId="0" borderId="77" xfId="0" applyFont="1" applyBorder="1" applyProtection="1"/>
    <xf numFmtId="0" fontId="0" fillId="0" borderId="77" xfId="0" applyBorder="1" applyProtection="1"/>
    <xf numFmtId="0" fontId="0" fillId="0" borderId="168" xfId="0" applyBorder="1" applyProtection="1"/>
    <xf numFmtId="0" fontId="0" fillId="0" borderId="170" xfId="0" applyBorder="1" applyProtection="1"/>
    <xf numFmtId="0" fontId="0" fillId="0" borderId="169" xfId="0" applyBorder="1" applyProtection="1"/>
    <xf numFmtId="0" fontId="0" fillId="0" borderId="174" xfId="0" applyBorder="1" applyProtection="1"/>
    <xf numFmtId="0" fontId="0" fillId="0" borderId="175" xfId="0" applyBorder="1" applyProtection="1"/>
    <xf numFmtId="0" fontId="15" fillId="0" borderId="576" xfId="0" applyFont="1" applyFill="1" applyBorder="1" applyAlignment="1" applyProtection="1">
      <alignment vertical="top"/>
    </xf>
    <xf numFmtId="0" fontId="0" fillId="0" borderId="32" xfId="0" applyFont="1" applyFill="1" applyBorder="1" applyProtection="1"/>
    <xf numFmtId="0" fontId="15" fillId="0" borderId="19" xfId="0" applyFont="1" applyFill="1" applyBorder="1" applyAlignment="1" applyProtection="1">
      <alignment textRotation="90"/>
    </xf>
    <xf numFmtId="0" fontId="15" fillId="0" borderId="0" xfId="0" applyFont="1" applyFill="1" applyBorder="1" applyAlignment="1" applyProtection="1">
      <alignment textRotation="90"/>
    </xf>
    <xf numFmtId="0" fontId="15" fillId="5" borderId="0" xfId="0" applyFont="1" applyFill="1" applyBorder="1" applyAlignment="1" applyProtection="1">
      <alignment horizontal="center" vertical="center" wrapText="1"/>
    </xf>
    <xf numFmtId="0" fontId="70" fillId="5" borderId="0" xfId="0" applyFont="1" applyFill="1" applyBorder="1" applyAlignment="1" applyProtection="1">
      <alignment horizontal="center" vertical="center"/>
    </xf>
    <xf numFmtId="0" fontId="0" fillId="0" borderId="37" xfId="0" applyFont="1" applyFill="1" applyBorder="1" applyProtection="1"/>
    <xf numFmtId="0" fontId="19" fillId="8" borderId="354" xfId="0" applyFont="1" applyFill="1" applyBorder="1" applyAlignment="1" applyProtection="1">
      <alignment wrapText="1"/>
    </xf>
    <xf numFmtId="0" fontId="19" fillId="8" borderId="355" xfId="0" applyFont="1" applyFill="1" applyBorder="1" applyAlignment="1" applyProtection="1">
      <alignment horizontal="left" wrapText="1"/>
    </xf>
    <xf numFmtId="0" fontId="19" fillId="8" borderId="355" xfId="0" applyFont="1" applyFill="1" applyBorder="1" applyAlignment="1" applyProtection="1">
      <alignment horizontal="center" wrapText="1"/>
    </xf>
    <xf numFmtId="0" fontId="19" fillId="8" borderId="355" xfId="0" applyFont="1" applyFill="1" applyBorder="1" applyAlignment="1" applyProtection="1">
      <alignment wrapText="1"/>
    </xf>
    <xf numFmtId="49" fontId="15" fillId="8" borderId="355" xfId="0" applyNumberFormat="1" applyFont="1" applyFill="1" applyBorder="1" applyAlignment="1" applyProtection="1">
      <alignment horizontal="center" wrapText="1"/>
    </xf>
    <xf numFmtId="49" fontId="15" fillId="8" borderId="358" xfId="0" applyNumberFormat="1" applyFont="1" applyFill="1" applyBorder="1" applyAlignment="1" applyProtection="1">
      <alignment horizontal="center" wrapText="1"/>
    </xf>
    <xf numFmtId="0" fontId="19" fillId="8" borderId="354" xfId="0" applyFont="1" applyFill="1" applyBorder="1" applyAlignment="1" applyProtection="1">
      <alignment horizontal="left"/>
    </xf>
    <xf numFmtId="49" fontId="15" fillId="8" borderId="355" xfId="0" applyNumberFormat="1" applyFont="1" applyFill="1" applyBorder="1" applyAlignment="1" applyProtection="1">
      <alignment horizontal="left" wrapText="1"/>
    </xf>
    <xf numFmtId="0" fontId="15" fillId="8" borderId="299" xfId="0" applyFont="1" applyFill="1" applyBorder="1" applyAlignment="1" applyProtection="1">
      <alignment horizontal="center" wrapText="1"/>
    </xf>
    <xf numFmtId="0" fontId="15" fillId="8" borderId="436" xfId="0" applyFont="1" applyFill="1" applyBorder="1" applyAlignment="1" applyProtection="1">
      <alignment horizontal="center" wrapText="1"/>
    </xf>
    <xf numFmtId="0" fontId="0" fillId="8" borderId="366" xfId="0" applyFont="1" applyFill="1" applyBorder="1" applyProtection="1"/>
    <xf numFmtId="0" fontId="15" fillId="8" borderId="366" xfId="0" applyFont="1" applyFill="1" applyBorder="1" applyAlignment="1" applyProtection="1">
      <alignment horizontal="center" wrapText="1"/>
    </xf>
    <xf numFmtId="0" fontId="15" fillId="8" borderId="366" xfId="0" applyFont="1" applyFill="1" applyBorder="1" applyAlignment="1" applyProtection="1">
      <alignment wrapText="1"/>
    </xf>
    <xf numFmtId="49" fontId="15" fillId="8" borderId="366" xfId="0" applyNumberFormat="1" applyFont="1" applyFill="1" applyBorder="1" applyAlignment="1" applyProtection="1">
      <alignment horizontal="center" wrapText="1"/>
    </xf>
    <xf numFmtId="49" fontId="15" fillId="8" borderId="361" xfId="0" applyNumberFormat="1" applyFont="1" applyFill="1" applyBorder="1" applyAlignment="1" applyProtection="1">
      <alignment horizontal="center" wrapText="1"/>
    </xf>
    <xf numFmtId="0" fontId="15" fillId="8" borderId="299" xfId="0" applyFont="1" applyFill="1" applyBorder="1" applyAlignment="1" applyProtection="1"/>
    <xf numFmtId="0" fontId="15" fillId="8" borderId="300"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71" fillId="0" borderId="0" xfId="0" applyFont="1" applyProtection="1">
      <protection locked="0"/>
    </xf>
    <xf numFmtId="0" fontId="0" fillId="0" borderId="0" xfId="0" applyAlignment="1" applyProtection="1">
      <alignment vertical="top"/>
      <protection locked="0"/>
    </xf>
    <xf numFmtId="0" fontId="23" fillId="0" borderId="464"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3" fillId="0" borderId="465" xfId="0" applyFont="1" applyBorder="1" applyAlignment="1" applyProtection="1">
      <alignment horizontal="center" vertical="top" wrapText="1"/>
      <protection locked="0"/>
    </xf>
    <xf numFmtId="0" fontId="23" fillId="0" borderId="466" xfId="0" applyFont="1" applyBorder="1" applyAlignment="1" applyProtection="1">
      <alignment horizontal="center" vertical="top" wrapText="1"/>
      <protection locked="0"/>
    </xf>
    <xf numFmtId="0" fontId="23" fillId="0" borderId="463"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2" fillId="0" borderId="201" xfId="0" applyFont="1" applyBorder="1" applyAlignment="1" applyProtection="1">
      <alignment horizontal="center" vertical="top"/>
    </xf>
    <xf numFmtId="0" fontId="23" fillId="0" borderId="468" xfId="0" applyFont="1" applyBorder="1" applyAlignment="1" applyProtection="1">
      <alignment horizontal="center" vertical="top" wrapText="1"/>
    </xf>
    <xf numFmtId="0" fontId="0" fillId="0" borderId="34" xfId="0" applyBorder="1" applyAlignment="1" applyProtection="1">
      <alignment vertical="top"/>
    </xf>
    <xf numFmtId="0" fontId="72" fillId="0" borderId="0" xfId="0" applyFont="1" applyBorder="1" applyAlignment="1" applyProtection="1">
      <alignment horizontal="center" vertical="top"/>
    </xf>
    <xf numFmtId="0" fontId="23" fillId="0" borderId="469" xfId="0" applyFont="1" applyBorder="1" applyAlignment="1" applyProtection="1">
      <alignment horizontal="center" vertical="top" wrapText="1"/>
    </xf>
    <xf numFmtId="0" fontId="72" fillId="0" borderId="77" xfId="0" applyFont="1" applyBorder="1" applyAlignment="1" applyProtection="1">
      <alignment horizontal="center" vertical="top"/>
    </xf>
    <xf numFmtId="0" fontId="23" fillId="0" borderId="470" xfId="0" applyFont="1" applyBorder="1" applyAlignment="1" applyProtection="1">
      <alignment horizontal="center" vertical="top" wrapText="1"/>
    </xf>
    <xf numFmtId="0" fontId="23"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2" fillId="0" borderId="442" xfId="0" applyFont="1" applyBorder="1" applyAlignment="1" applyProtection="1">
      <alignment horizontal="center" vertical="top"/>
    </xf>
    <xf numFmtId="0" fontId="23" fillId="0" borderId="467" xfId="0" applyFont="1" applyBorder="1" applyAlignment="1" applyProtection="1">
      <alignment horizontal="center" vertical="top" wrapText="1"/>
    </xf>
    <xf numFmtId="0" fontId="23" fillId="0" borderId="471" xfId="0" applyFont="1" applyBorder="1" applyAlignment="1" applyProtection="1">
      <alignment horizontal="center" vertical="top" wrapText="1"/>
    </xf>
    <xf numFmtId="0" fontId="72" fillId="0" borderId="0" xfId="0" applyFont="1" applyBorder="1" applyAlignment="1" applyProtection="1">
      <alignment vertical="top" wrapText="1"/>
    </xf>
    <xf numFmtId="0" fontId="72"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2" xfId="0" applyNumberFormat="1" applyFont="1" applyFill="1" applyBorder="1" applyAlignment="1" applyProtection="1">
      <alignment horizontal="center"/>
      <protection locked="0"/>
    </xf>
    <xf numFmtId="0" fontId="3" fillId="0" borderId="289" xfId="0" applyNumberFormat="1" applyFont="1" applyFill="1" applyBorder="1" applyAlignment="1" applyProtection="1">
      <alignment horizontal="center"/>
      <protection locked="0"/>
    </xf>
    <xf numFmtId="0" fontId="3" fillId="0" borderId="296" xfId="0" applyNumberFormat="1" applyFont="1" applyFill="1" applyBorder="1" applyAlignment="1" applyProtection="1">
      <alignment horizontal="center"/>
      <protection locked="0"/>
    </xf>
    <xf numFmtId="0" fontId="15" fillId="0" borderId="250" xfId="0" applyFont="1" applyFill="1" applyBorder="1" applyAlignment="1" applyProtection="1">
      <alignment wrapText="1"/>
      <protection locked="0"/>
    </xf>
    <xf numFmtId="0" fontId="15" fillId="0" borderId="354" xfId="0" applyFont="1" applyFill="1" applyBorder="1" applyAlignment="1" applyProtection="1">
      <alignment wrapText="1"/>
      <protection locked="0"/>
    </xf>
    <xf numFmtId="0" fontId="15" fillId="0" borderId="250" xfId="0" applyFont="1" applyBorder="1" applyAlignment="1" applyProtection="1">
      <alignment wrapText="1"/>
      <protection locked="0"/>
    </xf>
    <xf numFmtId="0" fontId="15" fillId="16" borderId="54" xfId="0" applyFont="1" applyFill="1" applyBorder="1" applyAlignment="1" applyProtection="1"/>
    <xf numFmtId="0" fontId="15" fillId="0" borderId="245" xfId="0" applyFont="1" applyBorder="1" applyAlignment="1" applyProtection="1">
      <alignment wrapText="1"/>
      <protection locked="0"/>
    </xf>
    <xf numFmtId="0" fontId="0" fillId="0" borderId="200" xfId="0" applyFont="1" applyFill="1" applyBorder="1" applyProtection="1"/>
    <xf numFmtId="44" fontId="42" fillId="6" borderId="261" xfId="0" applyNumberFormat="1" applyFont="1" applyFill="1" applyBorder="1" applyAlignment="1" applyProtection="1">
      <alignment vertical="center"/>
    </xf>
    <xf numFmtId="44" fontId="42" fillId="6" borderId="258" xfId="0" applyNumberFormat="1" applyFont="1" applyFill="1" applyBorder="1" applyAlignment="1" applyProtection="1">
      <alignment vertical="center"/>
    </xf>
    <xf numFmtId="44" fontId="42" fillId="6" borderId="378" xfId="0" applyNumberFormat="1" applyFont="1" applyFill="1" applyBorder="1" applyAlignment="1" applyProtection="1">
      <alignment vertical="center"/>
    </xf>
    <xf numFmtId="44" fontId="42" fillId="6" borderId="210" xfId="0" applyNumberFormat="1" applyFont="1" applyFill="1" applyBorder="1" applyAlignment="1" applyProtection="1">
      <alignment vertical="center"/>
    </xf>
    <xf numFmtId="44" fontId="42" fillId="6" borderId="151" xfId="0" applyNumberFormat="1" applyFont="1" applyFill="1" applyBorder="1" applyAlignment="1" applyProtection="1">
      <alignment vertical="center"/>
    </xf>
    <xf numFmtId="5" fontId="32" fillId="0" borderId="0" xfId="0" applyNumberFormat="1" applyFont="1" applyFill="1" applyBorder="1" applyAlignment="1" applyProtection="1">
      <alignment horizontal="left" vertical="center"/>
    </xf>
    <xf numFmtId="0" fontId="32" fillId="0" borderId="0" xfId="0" applyFont="1" applyBorder="1" applyAlignment="1" applyProtection="1">
      <alignment horizontal="lef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166" fontId="15" fillId="0" borderId="266" xfId="0" applyNumberFormat="1" applyFont="1" applyFill="1" applyBorder="1" applyAlignment="1" applyProtection="1">
      <alignment wrapText="1"/>
      <protection locked="0"/>
    </xf>
    <xf numFmtId="166" fontId="15" fillId="0" borderId="271" xfId="0" applyNumberFormat="1" applyFont="1" applyFill="1" applyBorder="1" applyAlignment="1" applyProtection="1">
      <alignment wrapText="1"/>
      <protection locked="0"/>
    </xf>
    <xf numFmtId="166" fontId="15" fillId="8" borderId="228" xfId="0" applyNumberFormat="1" applyFont="1" applyFill="1" applyBorder="1" applyAlignment="1" applyProtection="1">
      <alignment wrapText="1"/>
    </xf>
    <xf numFmtId="0" fontId="0" fillId="0" borderId="461" xfId="0" applyBorder="1" applyAlignment="1" applyProtection="1">
      <alignment vertical="top"/>
    </xf>
    <xf numFmtId="166" fontId="15" fillId="0" borderId="579" xfId="0" applyNumberFormat="1" applyFont="1" applyFill="1" applyBorder="1" applyAlignment="1" applyProtection="1">
      <alignment wrapText="1"/>
      <protection locked="0"/>
    </xf>
    <xf numFmtId="166" fontId="15" fillId="0" borderId="580" xfId="0" applyNumberFormat="1" applyFont="1" applyFill="1" applyBorder="1" applyAlignment="1" applyProtection="1">
      <alignment wrapText="1"/>
      <protection locked="0"/>
    </xf>
    <xf numFmtId="166" fontId="15" fillId="8" borderId="559" xfId="0" applyNumberFormat="1" applyFont="1" applyFill="1" applyBorder="1" applyAlignment="1" applyProtection="1">
      <alignment wrapText="1"/>
    </xf>
    <xf numFmtId="166" fontId="15" fillId="0" borderId="248" xfId="0" applyNumberFormat="1" applyFont="1" applyFill="1" applyBorder="1" applyAlignment="1" applyProtection="1">
      <alignment wrapText="1"/>
      <protection locked="0"/>
    </xf>
    <xf numFmtId="166" fontId="15" fillId="0" borderId="253" xfId="0" applyNumberFormat="1" applyFont="1" applyFill="1" applyBorder="1" applyAlignment="1" applyProtection="1">
      <alignment wrapText="1"/>
      <protection locked="0"/>
    </xf>
    <xf numFmtId="0" fontId="15" fillId="0" borderId="581" xfId="0" applyFont="1" applyFill="1" applyBorder="1" applyAlignment="1" applyProtection="1">
      <protection locked="0"/>
    </xf>
    <xf numFmtId="0" fontId="15" fillId="0" borderId="582" xfId="0" applyFont="1" applyFill="1" applyBorder="1" applyAlignment="1" applyProtection="1">
      <protection locked="0"/>
    </xf>
    <xf numFmtId="0" fontId="15" fillId="8" borderId="583" xfId="0" applyFont="1" applyFill="1" applyBorder="1" applyAlignment="1" applyProtection="1"/>
    <xf numFmtId="0" fontId="15" fillId="0" borderId="338" xfId="0" applyFont="1" applyFill="1" applyBorder="1" applyAlignment="1" applyProtection="1">
      <alignment horizontal="center"/>
      <protection locked="0"/>
    </xf>
    <xf numFmtId="42" fontId="15" fillId="0" borderId="246" xfId="0" applyNumberFormat="1" applyFont="1" applyFill="1" applyBorder="1" applyAlignment="1" applyProtection="1">
      <alignment horizontal="right"/>
      <protection locked="0"/>
    </xf>
    <xf numFmtId="42" fontId="15" fillId="0" borderId="251" xfId="0" applyNumberFormat="1" applyFont="1" applyFill="1" applyBorder="1" applyAlignment="1" applyProtection="1">
      <alignment horizontal="right"/>
      <protection locked="0"/>
    </xf>
    <xf numFmtId="42" fontId="15" fillId="0" borderId="256" xfId="0" applyNumberFormat="1" applyFont="1" applyFill="1" applyBorder="1" applyAlignment="1" applyProtection="1">
      <alignment horizontal="right"/>
      <protection locked="0"/>
    </xf>
    <xf numFmtId="6" fontId="15" fillId="28" borderId="586" xfId="0" applyNumberFormat="1" applyFont="1" applyFill="1" applyBorder="1" applyAlignment="1" applyProtection="1">
      <alignment horizontal="right"/>
    </xf>
    <xf numFmtId="0" fontId="42" fillId="6" borderId="73" xfId="0" applyNumberFormat="1" applyFont="1" applyFill="1" applyBorder="1" applyAlignment="1" applyProtection="1">
      <alignment horizontal="center" vertical="center" wrapText="1"/>
    </xf>
    <xf numFmtId="42" fontId="15" fillId="0" borderId="420" xfId="0" applyNumberFormat="1" applyFont="1" applyFill="1" applyBorder="1" applyAlignment="1" applyProtection="1">
      <alignment horizontal="right"/>
      <protection locked="0"/>
    </xf>
    <xf numFmtId="0" fontId="40" fillId="0" borderId="411" xfId="0" applyFont="1" applyFill="1" applyBorder="1" applyAlignment="1" applyProtection="1">
      <alignment vertical="center" wrapText="1"/>
      <protection locked="0"/>
    </xf>
    <xf numFmtId="42" fontId="16" fillId="6" borderId="152" xfId="0" applyNumberFormat="1" applyFont="1" applyFill="1" applyBorder="1" applyProtection="1"/>
    <xf numFmtId="42" fontId="16" fillId="6" borderId="236" xfId="0" applyNumberFormat="1" applyFont="1" applyFill="1" applyBorder="1" applyProtection="1"/>
    <xf numFmtId="42" fontId="16" fillId="6" borderId="237" xfId="0" applyNumberFormat="1" applyFont="1" applyFill="1" applyBorder="1" applyProtection="1"/>
    <xf numFmtId="0" fontId="15" fillId="0" borderId="287" xfId="0" applyNumberFormat="1" applyFont="1" applyFill="1" applyBorder="1" applyAlignment="1" applyProtection="1">
      <protection locked="0"/>
    </xf>
    <xf numFmtId="0" fontId="15" fillId="0" borderId="290" xfId="0" applyNumberFormat="1" applyFont="1" applyFill="1" applyBorder="1" applyAlignment="1" applyProtection="1">
      <protection locked="0"/>
    </xf>
    <xf numFmtId="0" fontId="15" fillId="0" borderId="455" xfId="0" applyNumberFormat="1" applyFont="1" applyFill="1" applyBorder="1" applyAlignment="1" applyProtection="1">
      <protection locked="0"/>
    </xf>
    <xf numFmtId="0" fontId="15" fillId="0" borderId="457" xfId="0" applyNumberFormat="1" applyFont="1" applyFill="1" applyBorder="1" applyAlignment="1" applyProtection="1">
      <protection locked="0"/>
    </xf>
    <xf numFmtId="0" fontId="15" fillId="0" borderId="459" xfId="0" applyNumberFormat="1" applyFont="1" applyFill="1" applyBorder="1" applyAlignment="1" applyProtection="1">
      <protection locked="0"/>
    </xf>
    <xf numFmtId="0" fontId="15" fillId="0" borderId="587" xfId="0" applyNumberFormat="1" applyFont="1" applyFill="1" applyBorder="1" applyAlignment="1" applyProtection="1">
      <protection locked="0"/>
    </xf>
    <xf numFmtId="0" fontId="15" fillId="0" borderId="446" xfId="0" applyNumberFormat="1" applyFont="1" applyFill="1" applyBorder="1" applyAlignment="1" applyProtection="1">
      <protection locked="0"/>
    </xf>
    <xf numFmtId="0" fontId="40" fillId="0" borderId="66" xfId="0" applyFont="1" applyFill="1" applyBorder="1" applyAlignment="1" applyProtection="1">
      <alignment horizontal="left" vertical="center" indent="1"/>
    </xf>
    <xf numFmtId="0" fontId="42" fillId="0" borderId="66" xfId="0" applyFont="1" applyFill="1" applyBorder="1" applyAlignment="1" applyProtection="1">
      <alignment vertical="center"/>
    </xf>
    <xf numFmtId="0" fontId="0" fillId="0" borderId="0" xfId="0" applyFill="1" applyBorder="1" applyProtection="1">
      <protection locked="0"/>
    </xf>
    <xf numFmtId="0" fontId="0" fillId="0" borderId="0" xfId="0" applyFill="1" applyBorder="1"/>
    <xf numFmtId="0" fontId="19" fillId="3" borderId="218" xfId="0" applyFont="1" applyFill="1" applyBorder="1" applyAlignment="1" applyProtection="1">
      <alignment wrapText="1"/>
    </xf>
    <xf numFmtId="0" fontId="15" fillId="8" borderId="250" xfId="0" applyFont="1" applyFill="1" applyBorder="1" applyAlignment="1" applyProtection="1"/>
    <xf numFmtId="44" fontId="3" fillId="8" borderId="331" xfId="0" applyNumberFormat="1" applyFont="1" applyFill="1" applyBorder="1" applyAlignment="1" applyProtection="1"/>
    <xf numFmtId="0" fontId="15" fillId="3" borderId="411" xfId="0" applyFont="1" applyFill="1" applyBorder="1" applyAlignment="1" applyProtection="1">
      <protection locked="0"/>
    </xf>
    <xf numFmtId="0" fontId="15" fillId="3" borderId="250"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2" xfId="0" applyFont="1" applyFill="1" applyBorder="1" applyAlignment="1" applyProtection="1">
      <alignment horizontal="center" vertical="center" wrapText="1"/>
    </xf>
    <xf numFmtId="0" fontId="5" fillId="16" borderId="443"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3"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8" xfId="0" applyNumberFormat="1" applyFont="1" applyFill="1" applyBorder="1" applyAlignment="1" applyProtection="1">
      <protection locked="0"/>
    </xf>
    <xf numFmtId="7" fontId="3" fillId="4" borderId="593" xfId="0" applyNumberFormat="1" applyFont="1" applyFill="1" applyBorder="1" applyAlignment="1" applyProtection="1">
      <alignment horizontal="center"/>
    </xf>
    <xf numFmtId="44" fontId="3" fillId="3" borderId="426" xfId="0" applyNumberFormat="1" applyFont="1" applyFill="1" applyBorder="1" applyAlignment="1" applyProtection="1">
      <protection locked="0"/>
    </xf>
    <xf numFmtId="166" fontId="40" fillId="16" borderId="236" xfId="0" applyNumberFormat="1" applyFont="1" applyFill="1" applyBorder="1" applyAlignment="1" applyProtection="1">
      <alignment wrapText="1"/>
    </xf>
    <xf numFmtId="42" fontId="0" fillId="0" borderId="0" xfId="0" applyNumberFormat="1" applyProtection="1">
      <protection locked="0"/>
    </xf>
    <xf numFmtId="167" fontId="0" fillId="0" borderId="0" xfId="0" applyNumberFormat="1" applyProtection="1">
      <protection locked="0"/>
    </xf>
    <xf numFmtId="0" fontId="0" fillId="0" borderId="31" xfId="0" applyFill="1" applyBorder="1" applyProtection="1">
      <protection locked="0"/>
    </xf>
    <xf numFmtId="14" fontId="3" fillId="0" borderId="286"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9" fontId="53" fillId="0" borderId="421" xfId="0" applyNumberFormat="1" applyFont="1" applyFill="1" applyBorder="1" applyProtection="1">
      <protection locked="0"/>
    </xf>
    <xf numFmtId="9" fontId="53" fillId="0" borderId="425" xfId="0" applyNumberFormat="1" applyFont="1" applyFill="1" applyBorder="1" applyProtection="1">
      <protection locked="0"/>
    </xf>
    <xf numFmtId="5" fontId="42" fillId="0" borderId="0" xfId="0" applyNumberFormat="1" applyFont="1" applyFill="1" applyBorder="1" applyAlignment="1" applyProtection="1">
      <alignment vertical="center"/>
    </xf>
    <xf numFmtId="6" fontId="42" fillId="0" borderId="0" xfId="0" applyNumberFormat="1" applyFont="1" applyFill="1" applyBorder="1" applyAlignment="1" applyProtection="1">
      <alignment vertical="center"/>
    </xf>
    <xf numFmtId="0" fontId="91" fillId="0" borderId="0" xfId="3" applyFont="1" applyProtection="1"/>
    <xf numFmtId="0" fontId="79" fillId="3" borderId="0" xfId="4" applyFont="1" applyFill="1" applyBorder="1" applyProtection="1"/>
    <xf numFmtId="0" fontId="79" fillId="3" borderId="0" xfId="4" applyFont="1" applyFill="1" applyBorder="1" applyAlignment="1" applyProtection="1">
      <alignment wrapText="1"/>
    </xf>
    <xf numFmtId="0" fontId="79" fillId="3" borderId="0" xfId="4" applyFont="1" applyFill="1" applyBorder="1" applyAlignment="1" applyProtection="1"/>
    <xf numFmtId="0" fontId="82" fillId="3" borderId="0" xfId="4" applyFont="1" applyFill="1" applyBorder="1" applyProtection="1"/>
    <xf numFmtId="0" fontId="70" fillId="3" borderId="0" xfId="4" applyFont="1" applyFill="1" applyBorder="1" applyAlignment="1" applyProtection="1"/>
    <xf numFmtId="0" fontId="70" fillId="3" borderId="0" xfId="4" applyFont="1" applyFill="1" applyBorder="1" applyProtection="1"/>
    <xf numFmtId="0" fontId="92" fillId="5" borderId="0" xfId="4" applyFont="1" applyFill="1" applyBorder="1" applyAlignment="1" applyProtection="1">
      <alignment horizontal="right"/>
    </xf>
    <xf numFmtId="0" fontId="70" fillId="5" borderId="0" xfId="4" applyFont="1" applyFill="1" applyBorder="1" applyProtection="1"/>
    <xf numFmtId="0" fontId="82" fillId="5" borderId="0" xfId="4" applyFont="1" applyFill="1" applyBorder="1" applyProtection="1"/>
    <xf numFmtId="0" fontId="83" fillId="0" borderId="567" xfId="4" applyFont="1" applyFill="1" applyBorder="1" applyProtection="1"/>
    <xf numFmtId="0" fontId="84" fillId="5" borderId="564" xfId="4" applyFont="1" applyFill="1" applyBorder="1" applyProtection="1"/>
    <xf numFmtId="0" fontId="79" fillId="3" borderId="565" xfId="4" applyFont="1" applyFill="1" applyBorder="1" applyProtection="1"/>
    <xf numFmtId="0" fontId="79" fillId="3" borderId="566" xfId="4" applyFont="1" applyFill="1" applyBorder="1" applyProtection="1"/>
    <xf numFmtId="0" fontId="79" fillId="3" borderId="567" xfId="4" applyFont="1" applyFill="1" applyBorder="1" applyProtection="1"/>
    <xf numFmtId="0" fontId="70" fillId="3" borderId="567" xfId="4" applyFont="1" applyFill="1" applyBorder="1" applyAlignment="1" applyProtection="1">
      <alignment horizontal="center" wrapText="1"/>
    </xf>
    <xf numFmtId="0" fontId="70" fillId="3" borderId="0" xfId="4" applyFont="1" applyFill="1" applyBorder="1" applyAlignment="1" applyProtection="1">
      <alignment horizontal="center" wrapText="1"/>
    </xf>
    <xf numFmtId="0" fontId="79" fillId="3" borderId="568" xfId="4" applyFont="1" applyFill="1" applyBorder="1" applyProtection="1"/>
    <xf numFmtId="9" fontId="79" fillId="5" borderId="567" xfId="2" applyFont="1" applyFill="1" applyBorder="1" applyAlignment="1" applyProtection="1">
      <alignment horizontal="center"/>
      <protection locked="0"/>
    </xf>
    <xf numFmtId="0" fontId="79" fillId="5" borderId="0" xfId="4" applyFont="1" applyFill="1" applyBorder="1" applyAlignment="1" applyProtection="1">
      <alignment horizontal="center"/>
    </xf>
    <xf numFmtId="0" fontId="79" fillId="3" borderId="0" xfId="4" applyFont="1" applyFill="1" applyBorder="1" applyAlignment="1" applyProtection="1">
      <alignment horizontal="center"/>
    </xf>
    <xf numFmtId="9" fontId="83" fillId="5" borderId="0" xfId="4" applyNumberFormat="1" applyFont="1" applyFill="1" applyBorder="1" applyAlignment="1" applyProtection="1">
      <alignment horizontal="center"/>
    </xf>
    <xf numFmtId="0" fontId="79" fillId="3" borderId="569" xfId="4" applyFont="1" applyFill="1" applyBorder="1" applyProtection="1"/>
    <xf numFmtId="0" fontId="95" fillId="3" borderId="570" xfId="4" applyFont="1" applyFill="1" applyBorder="1" applyAlignment="1" applyProtection="1"/>
    <xf numFmtId="0" fontId="79" fillId="3" borderId="570" xfId="4" applyFont="1" applyFill="1" applyBorder="1" applyProtection="1"/>
    <xf numFmtId="0" fontId="79" fillId="3" borderId="571" xfId="4" applyFont="1" applyFill="1" applyBorder="1" applyProtection="1"/>
    <xf numFmtId="0" fontId="79" fillId="3" borderId="559" xfId="4" applyFont="1" applyFill="1" applyBorder="1" applyProtection="1"/>
    <xf numFmtId="1" fontId="79" fillId="3" borderId="559" xfId="4" applyNumberFormat="1" applyFont="1" applyFill="1" applyBorder="1" applyProtection="1"/>
    <xf numFmtId="0" fontId="70" fillId="3" borderId="559" xfId="4" applyFont="1" applyFill="1" applyBorder="1" applyAlignment="1" applyProtection="1"/>
    <xf numFmtId="1" fontId="79" fillId="3" borderId="0" xfId="4" applyNumberFormat="1" applyFont="1" applyFill="1" applyBorder="1" applyProtection="1"/>
    <xf numFmtId="0" fontId="70" fillId="5" borderId="0" xfId="4" applyFont="1" applyFill="1" applyBorder="1" applyAlignment="1" applyProtection="1">
      <alignment horizontal="center"/>
    </xf>
    <xf numFmtId="0" fontId="92" fillId="5" borderId="0" xfId="4" applyFont="1" applyFill="1" applyBorder="1" applyAlignment="1" applyProtection="1">
      <alignment horizontal="left"/>
    </xf>
    <xf numFmtId="0" fontId="79" fillId="3" borderId="0" xfId="4" quotePrefix="1" applyFont="1" applyFill="1" applyBorder="1" applyAlignment="1" applyProtection="1">
      <alignment horizontal="center"/>
    </xf>
    <xf numFmtId="0" fontId="79" fillId="5" borderId="559" xfId="4" applyFont="1" applyFill="1" applyBorder="1" applyAlignment="1" applyProtection="1">
      <alignment horizontal="left"/>
    </xf>
    <xf numFmtId="0" fontId="70" fillId="5" borderId="559" xfId="4" applyFont="1" applyFill="1" applyBorder="1" applyProtection="1"/>
    <xf numFmtId="0" fontId="79" fillId="3" borderId="559" xfId="4" applyFont="1" applyFill="1" applyBorder="1" applyAlignment="1" applyProtection="1"/>
    <xf numFmtId="0" fontId="79" fillId="3" borderId="559" xfId="4" quotePrefix="1" applyFont="1" applyFill="1" applyBorder="1" applyAlignment="1" applyProtection="1">
      <alignment horizontal="center"/>
    </xf>
    <xf numFmtId="0" fontId="79" fillId="3" borderId="559" xfId="4" applyFont="1" applyFill="1" applyBorder="1" applyAlignment="1" applyProtection="1">
      <alignment horizontal="center"/>
    </xf>
    <xf numFmtId="0" fontId="96" fillId="3" borderId="0" xfId="4" applyFont="1" applyFill="1" applyBorder="1" applyProtection="1"/>
    <xf numFmtId="0" fontId="79" fillId="5" borderId="0" xfId="4" applyFont="1" applyFill="1" applyBorder="1" applyAlignment="1" applyProtection="1">
      <alignment horizontal="left"/>
    </xf>
    <xf numFmtId="0" fontId="78" fillId="3" borderId="0" xfId="4" applyFont="1" applyFill="1" applyBorder="1" applyProtection="1"/>
    <xf numFmtId="0" fontId="78" fillId="3" borderId="0" xfId="4" applyFont="1" applyFill="1" applyBorder="1" applyAlignment="1" applyProtection="1"/>
    <xf numFmtId="0" fontId="79" fillId="5" borderId="0" xfId="4" applyFont="1" applyFill="1" applyBorder="1" applyAlignment="1" applyProtection="1"/>
    <xf numFmtId="0" fontId="79" fillId="0" borderId="0" xfId="4" applyFont="1" applyFill="1" applyBorder="1" applyProtection="1"/>
    <xf numFmtId="0" fontId="80" fillId="3" borderId="0" xfId="4" applyFont="1" applyFill="1" applyBorder="1" applyProtection="1"/>
    <xf numFmtId="1" fontId="79" fillId="5" borderId="0" xfId="4" applyNumberFormat="1" applyFont="1" applyFill="1" applyBorder="1" applyAlignment="1" applyProtection="1">
      <alignment horizontal="right"/>
    </xf>
    <xf numFmtId="0" fontId="94" fillId="0" borderId="0" xfId="4" applyFont="1" applyFill="1" applyBorder="1" applyAlignment="1" applyProtection="1">
      <alignment vertical="top"/>
    </xf>
    <xf numFmtId="0" fontId="80" fillId="5" borderId="0" xfId="4" applyFont="1" applyFill="1" applyBorder="1" applyAlignment="1" applyProtection="1">
      <alignment horizontal="left"/>
    </xf>
    <xf numFmtId="0" fontId="79" fillId="0" borderId="567" xfId="4" applyFont="1" applyFill="1" applyBorder="1" applyAlignment="1" applyProtection="1">
      <alignment horizontal="left" vertical="top"/>
    </xf>
    <xf numFmtId="0" fontId="85" fillId="3" borderId="0" xfId="4" applyFont="1" applyFill="1" applyBorder="1" applyProtection="1"/>
    <xf numFmtId="44" fontId="78" fillId="5" borderId="0" xfId="4" applyNumberFormat="1" applyFont="1" applyFill="1" applyBorder="1" applyAlignment="1" applyProtection="1">
      <alignment horizontal="left"/>
    </xf>
    <xf numFmtId="44" fontId="79" fillId="5" borderId="0" xfId="4" applyNumberFormat="1" applyFont="1" applyFill="1" applyBorder="1" applyAlignment="1" applyProtection="1">
      <alignment horizontal="left"/>
    </xf>
    <xf numFmtId="165" fontId="78" fillId="5" borderId="567" xfId="2" applyNumberFormat="1" applyFont="1" applyFill="1" applyBorder="1" applyAlignment="1" applyProtection="1">
      <alignment horizontal="right"/>
    </xf>
    <xf numFmtId="165" fontId="78" fillId="5" borderId="0" xfId="2" applyNumberFormat="1" applyFont="1" applyFill="1" applyBorder="1" applyAlignment="1" applyProtection="1">
      <alignment horizontal="right"/>
    </xf>
    <xf numFmtId="165" fontId="78" fillId="0" borderId="0" xfId="2" applyNumberFormat="1" applyFont="1" applyFill="1" applyBorder="1" applyAlignment="1" applyProtection="1"/>
    <xf numFmtId="0" fontId="85" fillId="3" borderId="559" xfId="4" applyFont="1" applyFill="1" applyBorder="1" applyProtection="1"/>
    <xf numFmtId="44" fontId="79" fillId="5" borderId="559" xfId="4" applyNumberFormat="1" applyFont="1" applyFill="1" applyBorder="1" applyAlignment="1" applyProtection="1">
      <alignment horizontal="left"/>
    </xf>
    <xf numFmtId="44" fontId="78" fillId="5" borderId="559" xfId="4" applyNumberFormat="1" applyFont="1" applyFill="1" applyBorder="1" applyAlignment="1" applyProtection="1">
      <alignment horizontal="left"/>
    </xf>
    <xf numFmtId="165" fontId="78" fillId="5" borderId="559" xfId="2" applyNumberFormat="1" applyFont="1" applyFill="1" applyBorder="1" applyAlignment="1" applyProtection="1">
      <alignment horizontal="right"/>
    </xf>
    <xf numFmtId="0" fontId="70" fillId="3" borderId="0" xfId="4" applyFont="1" applyFill="1" applyBorder="1" applyAlignment="1" applyProtection="1">
      <alignment horizontal="left" vertical="top" wrapText="1"/>
    </xf>
    <xf numFmtId="0" fontId="79" fillId="5" borderId="0" xfId="4" applyFont="1" applyFill="1" applyBorder="1" applyProtection="1"/>
    <xf numFmtId="0" fontId="79" fillId="5" borderId="559" xfId="4" applyFont="1" applyFill="1" applyBorder="1" applyProtection="1"/>
    <xf numFmtId="0" fontId="79" fillId="0" borderId="567" xfId="4" applyFont="1" applyFill="1" applyBorder="1" applyAlignment="1" applyProtection="1">
      <alignment horizontal="left"/>
    </xf>
    <xf numFmtId="44" fontId="78" fillId="5" borderId="568" xfId="4" applyNumberFormat="1" applyFont="1" applyFill="1" applyBorder="1" applyAlignment="1" applyProtection="1">
      <alignment horizontal="left"/>
    </xf>
    <xf numFmtId="9" fontId="78" fillId="5" borderId="559" xfId="2" applyNumberFormat="1" applyFont="1" applyFill="1" applyBorder="1" applyAlignment="1" applyProtection="1">
      <alignment horizontal="right"/>
    </xf>
    <xf numFmtId="0" fontId="82" fillId="5" borderId="0" xfId="4" applyFont="1" applyFill="1" applyBorder="1" applyAlignment="1" applyProtection="1">
      <alignment horizontal="center"/>
    </xf>
    <xf numFmtId="0" fontId="81" fillId="3" borderId="0" xfId="4" applyFont="1" applyFill="1" applyBorder="1" applyProtection="1"/>
    <xf numFmtId="0" fontId="94" fillId="3" borderId="0" xfId="4" applyFont="1" applyFill="1" applyBorder="1" applyProtection="1"/>
    <xf numFmtId="1" fontId="79" fillId="5" borderId="559" xfId="4" applyNumberFormat="1" applyFont="1" applyFill="1" applyBorder="1" applyAlignment="1" applyProtection="1">
      <alignment horizontal="right"/>
    </xf>
    <xf numFmtId="0" fontId="70" fillId="3" borderId="559" xfId="4" applyFont="1" applyFill="1" applyBorder="1" applyAlignment="1" applyProtection="1">
      <alignment wrapText="1"/>
    </xf>
    <xf numFmtId="0" fontId="93" fillId="3" borderId="0" xfId="4" applyFont="1" applyFill="1" applyBorder="1" applyAlignment="1" applyProtection="1"/>
    <xf numFmtId="0" fontId="70" fillId="3" borderId="559" xfId="4" applyFont="1" applyFill="1" applyBorder="1" applyProtection="1"/>
    <xf numFmtId="0" fontId="82" fillId="5" borderId="559" xfId="4" applyFont="1" applyFill="1" applyBorder="1" applyAlignment="1" applyProtection="1">
      <alignment horizontal="center"/>
    </xf>
    <xf numFmtId="0" fontId="93" fillId="3" borderId="0" xfId="4" applyFont="1" applyFill="1" applyBorder="1" applyProtection="1"/>
    <xf numFmtId="0" fontId="14" fillId="0" borderId="0" xfId="5" applyFont="1" applyFill="1" applyProtection="1"/>
    <xf numFmtId="0" fontId="79" fillId="5" borderId="0" xfId="4" applyFont="1" applyFill="1" applyBorder="1" applyAlignment="1" applyProtection="1">
      <alignment horizontal="right"/>
    </xf>
    <xf numFmtId="0" fontId="79" fillId="3" borderId="0" xfId="4" applyFont="1" applyFill="1" applyBorder="1" applyAlignment="1" applyProtection="1">
      <alignment horizontal="right"/>
    </xf>
    <xf numFmtId="0" fontId="79" fillId="3" borderId="596" xfId="4" applyFont="1" applyFill="1" applyBorder="1" applyAlignment="1" applyProtection="1">
      <alignment vertical="center"/>
    </xf>
    <xf numFmtId="0" fontId="88" fillId="3" borderId="596" xfId="4" applyFont="1" applyFill="1" applyBorder="1" applyAlignment="1" applyProtection="1">
      <alignment vertical="center"/>
    </xf>
    <xf numFmtId="0" fontId="79" fillId="5" borderId="0" xfId="4" applyFont="1" applyFill="1" applyBorder="1" applyAlignment="1" applyProtection="1">
      <alignment horizontal="center"/>
      <protection locked="0"/>
    </xf>
    <xf numFmtId="0" fontId="16" fillId="0" borderId="0" xfId="5" applyFont="1" applyFill="1" applyProtection="1"/>
    <xf numFmtId="9" fontId="14" fillId="0" borderId="0" xfId="5" applyNumberFormat="1" applyFont="1" applyFill="1" applyAlignment="1" applyProtection="1">
      <alignment horizontal="left"/>
    </xf>
    <xf numFmtId="0" fontId="14" fillId="0" borderId="0" xfId="5" applyFont="1" applyFill="1" applyAlignment="1" applyProtection="1">
      <alignment horizontal="left"/>
    </xf>
    <xf numFmtId="0" fontId="52" fillId="0" borderId="0" xfId="4" applyFont="1" applyFill="1" applyBorder="1" applyProtection="1"/>
    <xf numFmtId="0" fontId="52" fillId="0" borderId="0" xfId="4" applyFont="1" applyFill="1" applyBorder="1" applyAlignment="1" applyProtection="1"/>
    <xf numFmtId="0" fontId="20" fillId="0" borderId="0" xfId="5" applyFont="1" applyFill="1" applyProtection="1"/>
    <xf numFmtId="9" fontId="14" fillId="0" borderId="0" xfId="5" applyNumberFormat="1" applyFont="1" applyFill="1" applyProtection="1"/>
    <xf numFmtId="0" fontId="16" fillId="0" borderId="0" xfId="5" applyFont="1" applyFill="1"/>
    <xf numFmtId="0" fontId="14" fillId="0" borderId="0" xfId="5" applyFont="1" applyFill="1"/>
    <xf numFmtId="0" fontId="83" fillId="0" borderId="0" xfId="5" applyFont="1" applyFill="1"/>
    <xf numFmtId="9" fontId="14" fillId="0" borderId="0" xfId="5" applyNumberFormat="1" applyFont="1" applyFill="1" applyAlignment="1">
      <alignment horizontal="left"/>
    </xf>
    <xf numFmtId="0" fontId="52" fillId="0" borderId="0" xfId="4" applyFont="1" applyFill="1" applyBorder="1"/>
    <xf numFmtId="0" fontId="52" fillId="0" borderId="0" xfId="4" applyFont="1" applyFill="1" applyBorder="1" applyAlignment="1"/>
    <xf numFmtId="0" fontId="52" fillId="0" borderId="0" xfId="4" applyFont="1" applyFill="1" applyBorder="1" applyAlignment="1">
      <alignment horizontal="left"/>
    </xf>
    <xf numFmtId="6" fontId="52" fillId="0" borderId="0" xfId="1" applyNumberFormat="1" applyFont="1" applyFill="1" applyBorder="1" applyAlignment="1">
      <alignment horizontal="left"/>
    </xf>
    <xf numFmtId="0" fontId="15" fillId="0" borderId="0" xfId="0" applyFont="1" applyFill="1" applyBorder="1" applyAlignment="1" applyProtection="1"/>
    <xf numFmtId="0" fontId="15" fillId="0" borderId="0" xfId="0" applyFont="1" applyFill="1" applyBorder="1" applyAlignment="1" applyProtection="1">
      <alignment horizontal="right" vertical="center"/>
    </xf>
    <xf numFmtId="0" fontId="15" fillId="0" borderId="26" xfId="0" applyFont="1" applyFill="1" applyBorder="1" applyAlignment="1" applyProtection="1">
      <alignment horizontal="right" vertical="center"/>
    </xf>
    <xf numFmtId="0" fontId="15" fillId="0" borderId="6" xfId="0" applyFont="1" applyFill="1" applyBorder="1" applyAlignment="1" applyProtection="1">
      <alignment horizontal="left"/>
      <protection locked="0"/>
    </xf>
    <xf numFmtId="0" fontId="15" fillId="0" borderId="6" xfId="0" applyFont="1" applyFill="1" applyBorder="1" applyProtection="1">
      <protection locked="0"/>
    </xf>
    <xf numFmtId="0" fontId="1" fillId="0" borderId="0" xfId="0" applyFont="1" applyFill="1" applyBorder="1" applyProtection="1"/>
    <xf numFmtId="16" fontId="1" fillId="0" borderId="493" xfId="0" applyNumberFormat="1" applyFont="1" applyFill="1" applyBorder="1" applyProtection="1"/>
    <xf numFmtId="16" fontId="1" fillId="0" borderId="480" xfId="0" applyNumberFormat="1" applyFont="1" applyFill="1" applyBorder="1" applyProtection="1"/>
    <xf numFmtId="16" fontId="1" fillId="0" borderId="481" xfId="0" applyNumberFormat="1" applyFont="1" applyFill="1" applyBorder="1" applyProtection="1"/>
    <xf numFmtId="16" fontId="1" fillId="0" borderId="516" xfId="0" applyNumberFormat="1" applyFont="1" applyFill="1" applyBorder="1" applyProtection="1"/>
    <xf numFmtId="16" fontId="0" fillId="0" borderId="505" xfId="0" applyNumberFormat="1" applyFont="1" applyFill="1" applyBorder="1" applyProtection="1"/>
    <xf numFmtId="0" fontId="16" fillId="0" borderId="77" xfId="0" applyFont="1" applyFill="1" applyBorder="1" applyAlignment="1" applyProtection="1"/>
    <xf numFmtId="0" fontId="20" fillId="16" borderId="0" xfId="0" applyFont="1" applyFill="1" applyBorder="1" applyAlignment="1" applyProtection="1"/>
    <xf numFmtId="0" fontId="15" fillId="0" borderId="252" xfId="0" applyFont="1" applyFill="1" applyBorder="1" applyAlignment="1" applyProtection="1">
      <protection locked="0"/>
    </xf>
    <xf numFmtId="0" fontId="15" fillId="8" borderId="260" xfId="0" applyFont="1" applyFill="1" applyBorder="1" applyAlignment="1" applyProtection="1"/>
    <xf numFmtId="0" fontId="15" fillId="8" borderId="228" xfId="0" applyFont="1" applyFill="1" applyBorder="1" applyAlignment="1" applyProtection="1"/>
    <xf numFmtId="0" fontId="19" fillId="16" borderId="148" xfId="0" applyFont="1" applyFill="1" applyBorder="1" applyAlignment="1" applyProtection="1">
      <alignment wrapText="1"/>
    </xf>
    <xf numFmtId="0" fontId="19" fillId="16" borderId="149" xfId="0" applyFont="1" applyFill="1" applyBorder="1" applyAlignment="1" applyProtection="1">
      <alignment wrapText="1"/>
    </xf>
    <xf numFmtId="0" fontId="15" fillId="0" borderId="247" xfId="0" applyFont="1" applyFill="1" applyBorder="1" applyAlignment="1" applyProtection="1">
      <protection locked="0"/>
    </xf>
    <xf numFmtId="0" fontId="15" fillId="0" borderId="250" xfId="0" applyFont="1" applyFill="1" applyBorder="1" applyProtection="1">
      <protection locked="0"/>
    </xf>
    <xf numFmtId="3" fontId="14" fillId="0" borderId="0" xfId="0" applyNumberFormat="1" applyFont="1" applyFill="1" applyBorder="1" applyAlignment="1" applyProtection="1">
      <alignment horizontal="left"/>
    </xf>
    <xf numFmtId="0" fontId="15" fillId="16" borderId="163" xfId="0" applyFont="1" applyFill="1" applyBorder="1" applyAlignment="1" applyProtection="1">
      <alignment wrapText="1"/>
    </xf>
    <xf numFmtId="0" fontId="15" fillId="0" borderId="245" xfId="0" applyFont="1" applyFill="1" applyBorder="1" applyAlignment="1" applyProtection="1">
      <alignment wrapText="1"/>
      <protection locked="0"/>
    </xf>
    <xf numFmtId="0" fontId="37" fillId="0" borderId="0" xfId="0" applyFont="1" applyFill="1" applyBorder="1" applyAlignment="1" applyProtection="1">
      <alignment horizontal="right" vertical="center"/>
    </xf>
    <xf numFmtId="0" fontId="37" fillId="0" borderId="3" xfId="0" applyFont="1" applyFill="1" applyBorder="1" applyAlignment="1" applyProtection="1">
      <alignment horizontal="right" vertical="center"/>
    </xf>
    <xf numFmtId="0" fontId="0" fillId="0" borderId="0" xfId="0" applyProtection="1"/>
    <xf numFmtId="0" fontId="15" fillId="0" borderId="6" xfId="0" applyFont="1" applyFill="1" applyBorder="1" applyProtection="1">
      <protection locked="0"/>
    </xf>
    <xf numFmtId="0" fontId="15" fillId="0" borderId="0" xfId="0" applyFont="1" applyFill="1" applyBorder="1" applyAlignment="1" applyProtection="1"/>
    <xf numFmtId="0" fontId="20" fillId="16" borderId="0" xfId="0" applyFont="1" applyFill="1" applyBorder="1" applyAlignment="1" applyProtection="1"/>
    <xf numFmtId="0" fontId="15" fillId="0" borderId="52" xfId="0" applyFont="1" applyFill="1" applyBorder="1" applyAlignment="1" applyProtection="1">
      <protection locked="0"/>
    </xf>
    <xf numFmtId="0" fontId="15" fillId="0" borderId="6" xfId="0" applyFont="1" applyFill="1" applyBorder="1" applyAlignment="1" applyProtection="1">
      <protection locked="0"/>
    </xf>
    <xf numFmtId="0" fontId="15" fillId="0" borderId="29" xfId="0" applyFont="1" applyFill="1" applyBorder="1" applyProtection="1">
      <protection locked="0"/>
    </xf>
    <xf numFmtId="0" fontId="15" fillId="0" borderId="234" xfId="0" applyFont="1" applyFill="1" applyBorder="1" applyAlignment="1" applyProtection="1">
      <protection locked="0"/>
    </xf>
    <xf numFmtId="0" fontId="0" fillId="0" borderId="0" xfId="0" applyProtection="1"/>
    <xf numFmtId="0" fontId="15" fillId="0" borderId="92" xfId="0" applyFont="1" applyBorder="1" applyProtection="1">
      <protection locked="0"/>
    </xf>
    <xf numFmtId="0" fontId="15" fillId="0" borderId="93" xfId="0" applyFont="1" applyBorder="1" applyProtection="1">
      <protection locked="0"/>
    </xf>
    <xf numFmtId="0" fontId="15" fillId="0" borderId="93" xfId="0" applyFont="1" applyFill="1" applyBorder="1" applyProtection="1">
      <protection locked="0"/>
    </xf>
    <xf numFmtId="9" fontId="15" fillId="0" borderId="93" xfId="0" applyNumberFormat="1" applyFont="1" applyFill="1" applyBorder="1" applyProtection="1">
      <protection locked="0"/>
    </xf>
    <xf numFmtId="0" fontId="15" fillId="0" borderId="94" xfId="0" applyFont="1" applyBorder="1" applyProtection="1">
      <protection locked="0"/>
    </xf>
    <xf numFmtId="0" fontId="14" fillId="6" borderId="322" xfId="0" applyFont="1" applyFill="1" applyBorder="1" applyAlignment="1" applyProtection="1">
      <alignment horizontal="center"/>
    </xf>
    <xf numFmtId="0" fontId="14" fillId="6" borderId="395" xfId="0" applyFont="1" applyFill="1" applyBorder="1" applyAlignment="1" applyProtection="1">
      <alignment horizontal="center"/>
    </xf>
    <xf numFmtId="0" fontId="0" fillId="6" borderId="395" xfId="0" applyFont="1" applyFill="1" applyBorder="1" applyAlignment="1" applyProtection="1">
      <alignment horizontal="center"/>
    </xf>
    <xf numFmtId="0" fontId="0" fillId="6" borderId="448" xfId="0" applyFont="1" applyFill="1" applyBorder="1" applyAlignment="1" applyProtection="1">
      <alignment horizontal="center"/>
    </xf>
    <xf numFmtId="44" fontId="3" fillId="8" borderId="250" xfId="0" applyNumberFormat="1" applyFont="1" applyFill="1" applyBorder="1" applyAlignment="1" applyProtection="1"/>
    <xf numFmtId="0" fontId="3" fillId="8" borderId="251" xfId="0" applyFont="1" applyFill="1" applyBorder="1" applyAlignment="1" applyProtection="1"/>
    <xf numFmtId="0" fontId="0" fillId="0" borderId="511" xfId="0" applyBorder="1" applyProtection="1"/>
    <xf numFmtId="42" fontId="5" fillId="6" borderId="452"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7" xfId="0" applyNumberFormat="1" applyFont="1" applyFill="1" applyBorder="1" applyAlignment="1" applyProtection="1">
      <alignment wrapText="1"/>
    </xf>
    <xf numFmtId="42" fontId="5" fillId="6" borderId="453" xfId="0" applyNumberFormat="1" applyFont="1" applyFill="1" applyBorder="1" applyAlignment="1" applyProtection="1">
      <alignment wrapText="1"/>
    </xf>
    <xf numFmtId="42" fontId="5" fillId="6" borderId="280" xfId="0" applyNumberFormat="1" applyFont="1" applyFill="1" applyBorder="1" applyAlignment="1" applyProtection="1">
      <alignment wrapText="1"/>
    </xf>
    <xf numFmtId="42" fontId="5" fillId="6" borderId="282" xfId="0" applyNumberFormat="1" applyFont="1" applyFill="1" applyBorder="1" applyAlignment="1" applyProtection="1">
      <alignment wrapText="1"/>
    </xf>
    <xf numFmtId="10" fontId="7" fillId="16" borderId="314" xfId="0" applyNumberFormat="1" applyFont="1" applyFill="1" applyBorder="1" applyAlignment="1" applyProtection="1">
      <alignment horizontal="center" vertical="center" wrapText="1"/>
    </xf>
    <xf numFmtId="42" fontId="7" fillId="0" borderId="315" xfId="0" applyNumberFormat="1" applyFont="1" applyFill="1" applyBorder="1" applyAlignment="1" applyProtection="1"/>
    <xf numFmtId="10" fontId="7" fillId="16" borderId="250" xfId="0" applyNumberFormat="1" applyFont="1" applyFill="1" applyBorder="1" applyAlignment="1" applyProtection="1">
      <alignment horizontal="center" vertical="center" wrapText="1"/>
    </xf>
    <xf numFmtId="0" fontId="15" fillId="0" borderId="77" xfId="0" applyFont="1" applyBorder="1" applyProtection="1"/>
    <xf numFmtId="0" fontId="15" fillId="0" borderId="34" xfId="0" applyFont="1" applyBorder="1" applyProtection="1"/>
    <xf numFmtId="0" fontId="2" fillId="16" borderId="9" xfId="0" applyFont="1" applyFill="1" applyBorder="1" applyAlignment="1" applyProtection="1">
      <alignment horizontal="center" wrapText="1"/>
    </xf>
    <xf numFmtId="0" fontId="16" fillId="16" borderId="115" xfId="0" applyFont="1" applyFill="1" applyBorder="1" applyProtection="1"/>
    <xf numFmtId="0" fontId="16" fillId="16" borderId="90" xfId="0" applyFont="1" applyFill="1" applyBorder="1" applyProtection="1"/>
    <xf numFmtId="0" fontId="2" fillId="16" borderId="90" xfId="0" applyFont="1" applyFill="1" applyBorder="1" applyProtection="1"/>
    <xf numFmtId="0" fontId="2" fillId="16" borderId="137" xfId="0" applyFont="1" applyFill="1" applyBorder="1" applyProtection="1"/>
    <xf numFmtId="0" fontId="2" fillId="9" borderId="237" xfId="0" applyFont="1" applyFill="1" applyBorder="1" applyAlignment="1" applyProtection="1">
      <alignment wrapText="1"/>
    </xf>
    <xf numFmtId="0" fontId="15" fillId="0" borderId="43" xfId="0" applyFont="1" applyBorder="1" applyProtection="1"/>
    <xf numFmtId="9" fontId="39" fillId="16" borderId="245" xfId="0" applyNumberFormat="1" applyFont="1" applyFill="1" applyBorder="1" applyAlignment="1" applyProtection="1">
      <alignment horizontal="center" vertical="center" wrapText="1"/>
    </xf>
    <xf numFmtId="41" fontId="14" fillId="6" borderId="285" xfId="0" applyNumberFormat="1" applyFont="1" applyFill="1" applyBorder="1" applyAlignment="1" applyProtection="1">
      <alignment horizontal="center"/>
    </xf>
    <xf numFmtId="41" fontId="14" fillId="6" borderId="286" xfId="0" applyNumberFormat="1" applyFont="1" applyFill="1" applyBorder="1" applyAlignment="1" applyProtection="1">
      <alignment horizontal="center"/>
    </xf>
    <xf numFmtId="41" fontId="14" fillId="6" borderId="307" xfId="0" applyNumberFormat="1" applyFont="1" applyFill="1" applyBorder="1" applyAlignment="1" applyProtection="1">
      <alignment horizontal="center"/>
    </xf>
    <xf numFmtId="9" fontId="39" fillId="16" borderId="250" xfId="0" applyNumberFormat="1" applyFont="1" applyFill="1" applyBorder="1" applyAlignment="1" applyProtection="1">
      <alignment horizontal="center" vertical="center" wrapText="1"/>
    </xf>
    <xf numFmtId="41" fontId="14" fillId="6" borderId="288" xfId="0" applyNumberFormat="1" applyFont="1" applyFill="1" applyBorder="1" applyAlignment="1" applyProtection="1">
      <alignment horizontal="center"/>
    </xf>
    <xf numFmtId="41" fontId="14" fillId="6" borderId="289" xfId="0" applyNumberFormat="1" applyFont="1" applyFill="1" applyBorder="1" applyAlignment="1" applyProtection="1">
      <alignment horizontal="center"/>
    </xf>
    <xf numFmtId="41" fontId="14" fillId="6" borderId="308" xfId="0" applyNumberFormat="1" applyFont="1" applyFill="1" applyBorder="1" applyAlignment="1" applyProtection="1">
      <alignment horizontal="center"/>
    </xf>
    <xf numFmtId="0" fontId="15" fillId="9" borderId="290" xfId="0" applyFont="1" applyFill="1" applyBorder="1" applyAlignment="1" applyProtection="1">
      <alignment horizontal="center"/>
    </xf>
    <xf numFmtId="9" fontId="39" fillId="16" borderId="65" xfId="0" applyNumberFormat="1" applyFont="1" applyFill="1" applyBorder="1" applyAlignment="1" applyProtection="1">
      <alignment horizontal="center" vertical="center" wrapText="1"/>
    </xf>
    <xf numFmtId="41" fontId="14" fillId="6" borderId="309" xfId="0" applyNumberFormat="1" applyFont="1" applyFill="1" applyBorder="1" applyAlignment="1" applyProtection="1">
      <alignment horizontal="center"/>
    </xf>
    <xf numFmtId="41" fontId="14" fillId="6" borderId="105" xfId="0" applyNumberFormat="1" applyFont="1" applyFill="1" applyBorder="1" applyAlignment="1" applyProtection="1">
      <alignment horizontal="center"/>
    </xf>
    <xf numFmtId="41" fontId="14" fillId="6" borderId="310" xfId="0" applyNumberFormat="1" applyFont="1" applyFill="1" applyBorder="1" applyAlignment="1" applyProtection="1">
      <alignment horizontal="center"/>
    </xf>
    <xf numFmtId="0" fontId="15" fillId="9" borderId="125" xfId="0" applyFont="1" applyFill="1" applyBorder="1" applyAlignment="1" applyProtection="1">
      <alignment horizontal="center"/>
    </xf>
    <xf numFmtId="9" fontId="39" fillId="16" borderId="112" xfId="0" applyNumberFormat="1" applyFont="1" applyFill="1" applyBorder="1" applyAlignment="1" applyProtection="1">
      <alignment horizontal="center" vertical="center" wrapText="1"/>
    </xf>
    <xf numFmtId="0" fontId="15" fillId="9" borderId="233" xfId="0" applyFont="1" applyFill="1" applyBorder="1" applyAlignment="1" applyProtection="1">
      <alignment horizontal="center"/>
    </xf>
    <xf numFmtId="0" fontId="0" fillId="9" borderId="233" xfId="0" applyFont="1" applyFill="1" applyBorder="1" applyAlignment="1" applyProtection="1">
      <alignment horizontal="center"/>
    </xf>
    <xf numFmtId="0" fontId="19" fillId="9" borderId="64" xfId="0" applyFont="1" applyFill="1" applyBorder="1" applyAlignment="1" applyProtection="1">
      <alignment horizontal="center"/>
    </xf>
    <xf numFmtId="10" fontId="6" fillId="16" borderId="303" xfId="0" applyNumberFormat="1" applyFont="1" applyFill="1" applyBorder="1" applyAlignment="1" applyProtection="1">
      <alignment horizontal="center" vertical="center" wrapText="1"/>
    </xf>
    <xf numFmtId="41" fontId="14" fillId="6" borderId="291" xfId="0" applyNumberFormat="1" applyFont="1" applyFill="1" applyBorder="1" applyAlignment="1" applyProtection="1">
      <alignment horizontal="center"/>
    </xf>
    <xf numFmtId="41" fontId="14" fillId="6" borderId="292" xfId="0" applyNumberFormat="1" applyFont="1" applyFill="1" applyBorder="1" applyAlignment="1" applyProtection="1">
      <alignment horizontal="center"/>
    </xf>
    <xf numFmtId="41" fontId="14" fillId="6" borderId="311" xfId="0" applyNumberFormat="1" applyFont="1" applyFill="1" applyBorder="1" applyAlignment="1" applyProtection="1">
      <alignment horizontal="center"/>
    </xf>
    <xf numFmtId="0" fontId="15" fillId="9" borderId="294" xfId="0" applyFont="1" applyFill="1" applyBorder="1" applyAlignment="1" applyProtection="1">
      <alignment horizontal="center"/>
    </xf>
    <xf numFmtId="10" fontId="6" fillId="16" borderId="304" xfId="0" applyNumberFormat="1" applyFont="1" applyFill="1" applyBorder="1" applyAlignment="1" applyProtection="1">
      <alignment horizontal="center" vertical="center" wrapText="1"/>
    </xf>
    <xf numFmtId="41" fontId="14" fillId="6" borderId="299" xfId="0" applyNumberFormat="1" applyFont="1" applyFill="1" applyBorder="1" applyAlignment="1" applyProtection="1">
      <alignment horizontal="center"/>
    </xf>
    <xf numFmtId="41" fontId="14" fillId="6" borderId="300" xfId="0" applyNumberFormat="1" applyFont="1" applyFill="1" applyBorder="1" applyAlignment="1" applyProtection="1">
      <alignment horizontal="center"/>
    </xf>
    <xf numFmtId="41" fontId="14" fillId="6" borderId="312" xfId="0" applyNumberFormat="1" applyFont="1" applyFill="1" applyBorder="1" applyAlignment="1" applyProtection="1">
      <alignment horizontal="center"/>
    </xf>
    <xf numFmtId="0" fontId="15" fillId="9" borderId="298" xfId="0" applyFont="1" applyFill="1" applyBorder="1" applyAlignment="1" applyProtection="1">
      <alignment horizontal="center"/>
    </xf>
    <xf numFmtId="9" fontId="39" fillId="16" borderId="1" xfId="0" applyNumberFormat="1" applyFont="1" applyFill="1" applyBorder="1" applyAlignment="1" applyProtection="1">
      <alignment horizontal="center" vertical="center" wrapText="1"/>
    </xf>
    <xf numFmtId="0" fontId="15" fillId="9" borderId="116" xfId="0" applyFont="1" applyFill="1" applyBorder="1" applyAlignment="1" applyProtection="1">
      <alignment horizontal="center"/>
    </xf>
    <xf numFmtId="0" fontId="15" fillId="9" borderId="283" xfId="0" applyFont="1" applyFill="1" applyBorder="1" applyAlignment="1" applyProtection="1">
      <alignment horizontal="center"/>
    </xf>
    <xf numFmtId="0" fontId="15" fillId="9" borderId="104" xfId="0" applyFont="1" applyFill="1" applyBorder="1" applyAlignment="1" applyProtection="1">
      <alignment horizontal="center"/>
    </xf>
    <xf numFmtId="0" fontId="0" fillId="9" borderId="104" xfId="0" applyFont="1" applyFill="1" applyBorder="1" applyAlignment="1" applyProtection="1">
      <alignment horizontal="center"/>
    </xf>
    <xf numFmtId="0" fontId="19" fillId="9" borderId="87" xfId="0" applyFont="1" applyFill="1" applyBorder="1" applyAlignment="1" applyProtection="1">
      <alignment horizontal="center"/>
    </xf>
    <xf numFmtId="9" fontId="39" fillId="21" borderId="9" xfId="0" applyNumberFormat="1" applyFont="1" applyFill="1" applyBorder="1" applyAlignment="1" applyProtection="1">
      <alignment horizontal="center" vertical="center" wrapText="1"/>
    </xf>
    <xf numFmtId="0" fontId="15" fillId="21" borderId="7" xfId="0" applyFont="1" applyFill="1" applyBorder="1" applyAlignment="1" applyProtection="1">
      <alignment horizontal="center"/>
    </xf>
    <xf numFmtId="0" fontId="15" fillId="21" borderId="225" xfId="0" applyFont="1" applyFill="1" applyBorder="1" applyAlignment="1" applyProtection="1">
      <alignment horizontal="center"/>
    </xf>
    <xf numFmtId="0" fontId="0" fillId="21" borderId="7" xfId="0" applyFont="1" applyFill="1" applyBorder="1" applyAlignment="1" applyProtection="1">
      <alignment horizontal="center"/>
    </xf>
    <xf numFmtId="0" fontId="19" fillId="21" borderId="229" xfId="0" applyFont="1" applyFill="1" applyBorder="1" applyAlignment="1" applyProtection="1">
      <alignment horizontal="center"/>
    </xf>
    <xf numFmtId="9" fontId="39" fillId="16" borderId="284" xfId="0" applyNumberFormat="1" applyFont="1" applyFill="1" applyBorder="1" applyAlignment="1" applyProtection="1">
      <alignment horizontal="center" vertical="center" wrapText="1"/>
    </xf>
    <xf numFmtId="0" fontId="15" fillId="6" borderId="285" xfId="0" applyFont="1" applyFill="1" applyBorder="1" applyAlignment="1" applyProtection="1">
      <alignment horizontal="center"/>
    </xf>
    <xf numFmtId="0" fontId="15" fillId="6" borderId="286" xfId="0" applyFont="1" applyFill="1" applyBorder="1" applyAlignment="1" applyProtection="1">
      <alignment horizontal="center"/>
    </xf>
    <xf numFmtId="0" fontId="15" fillId="6" borderId="277" xfId="0" applyFont="1" applyFill="1" applyBorder="1" applyAlignment="1" applyProtection="1">
      <alignment horizontal="center"/>
    </xf>
    <xf numFmtId="0" fontId="15" fillId="9" borderId="223" xfId="0" applyFont="1" applyFill="1" applyBorder="1" applyAlignment="1" applyProtection="1">
      <alignment horizontal="center"/>
    </xf>
    <xf numFmtId="0" fontId="2" fillId="16" borderId="306" xfId="0" applyFont="1" applyFill="1" applyBorder="1" applyAlignment="1" applyProtection="1">
      <alignment horizontal="center" vertical="center"/>
    </xf>
    <xf numFmtId="0" fontId="15" fillId="6" borderId="299" xfId="0" applyFont="1" applyFill="1" applyBorder="1" applyAlignment="1" applyProtection="1">
      <alignment horizontal="center"/>
    </xf>
    <xf numFmtId="0" fontId="15" fillId="6" borderId="300" xfId="0" applyFont="1" applyFill="1" applyBorder="1" applyAlignment="1" applyProtection="1">
      <alignment horizontal="center"/>
    </xf>
    <xf numFmtId="0" fontId="15" fillId="6" borderId="313" xfId="0" applyFont="1" applyFill="1" applyBorder="1" applyAlignment="1" applyProtection="1">
      <alignment horizontal="center"/>
    </xf>
    <xf numFmtId="0" fontId="19" fillId="21" borderId="114" xfId="0" applyFont="1" applyFill="1" applyBorder="1" applyAlignment="1" applyProtection="1">
      <alignment horizontal="center"/>
    </xf>
    <xf numFmtId="0" fontId="15" fillId="0" borderId="0" xfId="0" applyFont="1" applyFill="1" applyBorder="1" applyAlignment="1" applyProtection="1">
      <alignment horizontal="left" vertical="top" wrapText="1"/>
    </xf>
    <xf numFmtId="0" fontId="15" fillId="0" borderId="252" xfId="0" applyFont="1" applyFill="1" applyBorder="1" applyAlignment="1" applyProtection="1">
      <protection locked="0"/>
    </xf>
    <xf numFmtId="0" fontId="0" fillId="0" borderId="405" xfId="0" applyFont="1" applyFill="1" applyBorder="1" applyAlignment="1" applyProtection="1">
      <alignment horizontal="center"/>
      <protection locked="0"/>
    </xf>
    <xf numFmtId="0" fontId="0" fillId="0" borderId="407" xfId="0" applyFont="1" applyFill="1" applyBorder="1" applyAlignment="1" applyProtection="1">
      <alignment horizontal="center"/>
      <protection locked="0"/>
    </xf>
    <xf numFmtId="14" fontId="3" fillId="0" borderId="53" xfId="0" applyNumberFormat="1" applyFont="1" applyBorder="1" applyProtection="1">
      <protection locked="0"/>
    </xf>
    <xf numFmtId="14" fontId="15" fillId="0" borderId="247" xfId="0" applyNumberFormat="1" applyFont="1" applyFill="1" applyBorder="1" applyAlignment="1" applyProtection="1">
      <protection locked="0"/>
    </xf>
    <xf numFmtId="14" fontId="15" fillId="0" borderId="252" xfId="0" applyNumberFormat="1" applyFont="1" applyFill="1" applyBorder="1" applyAlignment="1" applyProtection="1">
      <protection locked="0"/>
    </xf>
    <xf numFmtId="14" fontId="15" fillId="0" borderId="270" xfId="0" applyNumberFormat="1" applyFont="1" applyFill="1" applyBorder="1" applyAlignment="1" applyProtection="1">
      <protection locked="0"/>
    </xf>
    <xf numFmtId="42" fontId="15" fillId="6" borderId="383" xfId="0" applyNumberFormat="1" applyFont="1" applyFill="1" applyBorder="1" applyAlignment="1" applyProtection="1">
      <alignment horizontal="left" wrapText="1"/>
      <protection locked="0"/>
    </xf>
    <xf numFmtId="9" fontId="15" fillId="0" borderId="330" xfId="2" applyFont="1" applyFill="1" applyBorder="1" applyAlignment="1" applyProtection="1">
      <alignment horizontal="right" wrapText="1"/>
      <protection locked="0"/>
    </xf>
    <xf numFmtId="42" fontId="15" fillId="0" borderId="330" xfId="0" applyNumberFormat="1" applyFont="1" applyFill="1" applyBorder="1" applyAlignment="1" applyProtection="1">
      <alignment horizontal="left" wrapText="1"/>
      <protection locked="0"/>
    </xf>
    <xf numFmtId="44" fontId="15" fillId="0" borderId="330" xfId="1" applyFont="1" applyFill="1" applyBorder="1" applyAlignment="1" applyProtection="1">
      <alignment horizontal="left" wrapText="1"/>
      <protection locked="0"/>
    </xf>
    <xf numFmtId="42" fontId="15" fillId="6" borderId="338" xfId="0" applyNumberFormat="1" applyFont="1" applyFill="1" applyBorder="1" applyAlignment="1" applyProtection="1">
      <alignment horizontal="left" wrapText="1"/>
      <protection locked="0"/>
    </xf>
    <xf numFmtId="0" fontId="0" fillId="0" borderId="0" xfId="0"/>
    <xf numFmtId="44" fontId="15" fillId="0" borderId="164" xfId="1" applyFont="1" applyFill="1" applyBorder="1" applyProtection="1">
      <protection locked="0"/>
    </xf>
    <xf numFmtId="44" fontId="15" fillId="0" borderId="286" xfId="1" applyFont="1" applyFill="1" applyBorder="1" applyProtection="1">
      <protection locked="0"/>
    </xf>
    <xf numFmtId="44" fontId="15" fillId="0" borderId="289" xfId="1" applyFont="1" applyFill="1" applyBorder="1" applyProtection="1">
      <protection locked="0"/>
    </xf>
    <xf numFmtId="44" fontId="15" fillId="0" borderId="399" xfId="1" applyFont="1" applyFill="1" applyBorder="1" applyProtection="1">
      <protection locked="0"/>
    </xf>
    <xf numFmtId="44" fontId="15" fillId="0" borderId="296" xfId="1" applyFont="1" applyFill="1" applyBorder="1" applyProtection="1">
      <protection locked="0"/>
    </xf>
    <xf numFmtId="44" fontId="15" fillId="0" borderId="429" xfId="1" applyFont="1" applyFill="1" applyBorder="1" applyProtection="1">
      <protection locked="0"/>
    </xf>
    <xf numFmtId="44" fontId="15" fillId="0" borderId="430" xfId="1" applyFont="1" applyFill="1" applyBorder="1" applyProtection="1">
      <protection locked="0"/>
    </xf>
    <xf numFmtId="44" fontId="40" fillId="6" borderId="151" xfId="0" applyNumberFormat="1" applyFont="1" applyFill="1" applyBorder="1" applyAlignment="1" applyProtection="1">
      <alignment horizontal="right"/>
    </xf>
    <xf numFmtId="0" fontId="5" fillId="0" borderId="0" xfId="0" applyNumberFormat="1" applyFont="1" applyFill="1" applyBorder="1" applyAlignment="1" applyProtection="1">
      <alignment vertical="center"/>
    </xf>
    <xf numFmtId="3" fontId="14" fillId="0" borderId="291" xfId="0" applyNumberFormat="1" applyFont="1" applyFill="1" applyBorder="1" applyAlignment="1" applyProtection="1">
      <alignment vertical="center"/>
      <protection locked="0"/>
    </xf>
    <xf numFmtId="3" fontId="14" fillId="0" borderId="292" xfId="0" applyNumberFormat="1" applyFont="1" applyFill="1" applyBorder="1" applyAlignment="1" applyProtection="1">
      <alignment vertical="center"/>
      <protection locked="0"/>
    </xf>
    <xf numFmtId="44" fontId="40" fillId="6" borderId="372" xfId="0" applyNumberFormat="1" applyFont="1" applyFill="1" applyBorder="1" applyAlignment="1" applyProtection="1">
      <alignment vertical="center"/>
    </xf>
    <xf numFmtId="44" fontId="40" fillId="6" borderId="375" xfId="0" applyNumberFormat="1" applyFont="1" applyFill="1" applyBorder="1" applyAlignment="1" applyProtection="1">
      <alignment vertical="center"/>
    </xf>
    <xf numFmtId="0" fontId="0" fillId="0" borderId="0" xfId="0" applyProtection="1"/>
    <xf numFmtId="0" fontId="53" fillId="0" borderId="233" xfId="0" applyFont="1" applyFill="1" applyBorder="1" applyAlignment="1" applyProtection="1">
      <alignment horizontal="center" vertical="center"/>
      <protection locked="0"/>
    </xf>
    <xf numFmtId="165" fontId="15" fillId="7" borderId="261" xfId="0" applyNumberFormat="1" applyFont="1" applyFill="1" applyBorder="1" applyProtection="1">
      <protection locked="0"/>
    </xf>
    <xf numFmtId="165" fontId="15" fillId="7" borderId="81" xfId="0" applyNumberFormat="1" applyFont="1" applyFill="1" applyBorder="1" applyProtection="1">
      <protection locked="0"/>
    </xf>
    <xf numFmtId="165" fontId="15" fillId="7" borderId="378" xfId="0" applyNumberFormat="1" applyFont="1" applyFill="1" applyBorder="1" applyProtection="1">
      <protection locked="0"/>
    </xf>
    <xf numFmtId="165" fontId="15" fillId="7" borderId="382" xfId="0" applyNumberFormat="1" applyFont="1" applyFill="1" applyBorder="1" applyProtection="1">
      <protection locked="0"/>
    </xf>
    <xf numFmtId="0" fontId="99" fillId="5" borderId="0" xfId="4" applyFont="1" applyFill="1" applyBorder="1" applyAlignment="1" applyProtection="1">
      <alignment horizontal="right"/>
    </xf>
    <xf numFmtId="0" fontId="99" fillId="5" borderId="0" xfId="4" applyFont="1" applyFill="1" applyBorder="1" applyAlignment="1" applyProtection="1">
      <alignment horizontal="center"/>
    </xf>
    <xf numFmtId="0" fontId="101" fillId="5" borderId="0" xfId="4" applyFont="1" applyFill="1" applyBorder="1" applyAlignment="1" applyProtection="1">
      <alignment horizontal="left"/>
    </xf>
    <xf numFmtId="0" fontId="79" fillId="3" borderId="0" xfId="4" applyFont="1" applyFill="1" applyBorder="1" applyAlignment="1" applyProtection="1">
      <alignment vertical="top"/>
    </xf>
    <xf numFmtId="0" fontId="102" fillId="5" borderId="0" xfId="4" applyFont="1" applyFill="1" applyBorder="1" applyAlignment="1" applyProtection="1">
      <alignment horizontal="center"/>
    </xf>
    <xf numFmtId="0" fontId="87" fillId="5" borderId="0" xfId="4" applyFont="1" applyFill="1" applyBorder="1" applyAlignment="1" applyProtection="1">
      <alignment horizontal="left"/>
    </xf>
    <xf numFmtId="0" fontId="87" fillId="3" borderId="0" xfId="4" applyFont="1" applyFill="1" applyBorder="1" applyProtection="1"/>
    <xf numFmtId="0" fontId="101" fillId="3" borderId="0" xfId="4" applyFont="1" applyFill="1" applyBorder="1" applyProtection="1"/>
    <xf numFmtId="0" fontId="79" fillId="3" borderId="559" xfId="4" applyFont="1" applyFill="1" applyBorder="1" applyAlignment="1" applyProtection="1">
      <alignment vertical="top"/>
    </xf>
    <xf numFmtId="0" fontId="92" fillId="5" borderId="559" xfId="4" applyFont="1" applyFill="1" applyBorder="1" applyAlignment="1" applyProtection="1">
      <alignment horizontal="right"/>
    </xf>
    <xf numFmtId="0" fontId="103" fillId="0" borderId="0" xfId="0" applyFont="1" applyAlignment="1" applyProtection="1">
      <alignment horizontal="left" vertical="center" wrapText="1" indent="5"/>
    </xf>
    <xf numFmtId="0" fontId="103" fillId="0" borderId="0" xfId="0" applyFont="1" applyAlignment="1" applyProtection="1">
      <alignment horizontal="left" vertical="center" indent="5"/>
    </xf>
    <xf numFmtId="0" fontId="0" fillId="0" borderId="0" xfId="0" applyFont="1" applyAlignment="1" applyProtection="1">
      <alignment horizontal="left" vertical="center" indent="5"/>
    </xf>
    <xf numFmtId="1" fontId="79" fillId="0" borderId="0" xfId="4" applyNumberFormat="1" applyFont="1" applyFill="1" applyBorder="1" applyAlignment="1">
      <alignment horizontal="right"/>
    </xf>
    <xf numFmtId="44" fontId="79" fillId="6" borderId="563" xfId="4" applyNumberFormat="1" applyFont="1" applyFill="1" applyBorder="1" applyAlignment="1">
      <alignment horizontal="right"/>
    </xf>
    <xf numFmtId="165" fontId="79" fillId="6" borderId="563" xfId="4" applyNumberFormat="1" applyFont="1" applyFill="1" applyBorder="1" applyAlignment="1">
      <alignment horizontal="right"/>
    </xf>
    <xf numFmtId="171" fontId="79" fillId="6" borderId="563" xfId="4" applyNumberFormat="1" applyFont="1" applyFill="1" applyBorder="1" applyAlignment="1">
      <alignment horizontal="left"/>
    </xf>
    <xf numFmtId="1" fontId="79" fillId="6" borderId="563" xfId="4" applyNumberFormat="1" applyFont="1" applyFill="1" applyBorder="1" applyAlignment="1">
      <alignment horizontal="right"/>
    </xf>
    <xf numFmtId="0" fontId="79" fillId="0" borderId="0" xfId="4" applyFont="1" applyFill="1" applyBorder="1"/>
    <xf numFmtId="0" fontId="70" fillId="0" borderId="0" xfId="4" applyFont="1" applyFill="1" applyBorder="1"/>
    <xf numFmtId="0" fontId="70" fillId="0" borderId="0" xfId="4" applyFont="1" applyFill="1" applyBorder="1" applyAlignment="1">
      <alignment horizontal="center"/>
    </xf>
    <xf numFmtId="0" fontId="70" fillId="6" borderId="604" xfId="4" applyFont="1" applyFill="1" applyBorder="1" applyAlignment="1"/>
    <xf numFmtId="44" fontId="105" fillId="6" borderId="87" xfId="1" applyFont="1" applyFill="1" applyBorder="1" applyAlignment="1"/>
    <xf numFmtId="171" fontId="70" fillId="6" borderId="603" xfId="1" applyNumberFormat="1" applyFont="1" applyFill="1" applyBorder="1" applyAlignment="1"/>
    <xf numFmtId="42" fontId="70" fillId="6" borderId="603" xfId="1" applyNumberFormat="1" applyFont="1" applyFill="1" applyBorder="1" applyAlignment="1"/>
    <xf numFmtId="42" fontId="70" fillId="6" borderId="605" xfId="4" applyNumberFormat="1" applyFont="1" applyFill="1" applyBorder="1" applyAlignment="1"/>
    <xf numFmtId="42" fontId="106" fillId="6" borderId="605" xfId="4" applyNumberFormat="1" applyFont="1" applyFill="1" applyBorder="1" applyAlignment="1"/>
    <xf numFmtId="42" fontId="70" fillId="6" borderId="606" xfId="4" applyNumberFormat="1" applyFont="1" applyFill="1" applyBorder="1" applyAlignment="1"/>
    <xf numFmtId="0" fontId="82" fillId="6" borderId="233" xfId="4" applyFont="1" applyFill="1" applyBorder="1"/>
    <xf numFmtId="0" fontId="81" fillId="0" borderId="0" xfId="4" applyFont="1" applyFill="1" applyBorder="1" applyAlignment="1">
      <alignment horizontal="center"/>
    </xf>
    <xf numFmtId="0" fontId="79" fillId="0" borderId="0" xfId="4" applyFont="1" applyFill="1" applyBorder="1" applyAlignment="1"/>
    <xf numFmtId="0" fontId="70" fillId="0" borderId="6" xfId="4" applyFont="1" applyFill="1" applyBorder="1" applyAlignment="1"/>
    <xf numFmtId="0" fontId="79" fillId="0" borderId="6" xfId="4" applyFont="1" applyFill="1" applyBorder="1"/>
    <xf numFmtId="0" fontId="70" fillId="0" borderId="6" xfId="4" applyFont="1" applyFill="1" applyBorder="1"/>
    <xf numFmtId="0" fontId="82" fillId="0" borderId="6" xfId="4" applyFont="1" applyFill="1" applyBorder="1" applyAlignment="1">
      <alignment horizontal="center"/>
    </xf>
    <xf numFmtId="0" fontId="82" fillId="0" borderId="0" xfId="4" applyFont="1" applyFill="1" applyBorder="1"/>
    <xf numFmtId="0" fontId="79" fillId="0" borderId="0" xfId="4" applyFont="1" applyFill="1" applyBorder="1" applyAlignment="1">
      <alignment horizontal="left" indent="2"/>
    </xf>
    <xf numFmtId="0" fontId="84" fillId="0" borderId="15" xfId="4" applyFont="1" applyFill="1" applyBorder="1"/>
    <xf numFmtId="0" fontId="79" fillId="0" borderId="19" xfId="4" applyFont="1" applyFill="1" applyBorder="1"/>
    <xf numFmtId="0" fontId="79" fillId="0" borderId="21" xfId="4" applyFont="1" applyFill="1" applyBorder="1"/>
    <xf numFmtId="0" fontId="70" fillId="0" borderId="25" xfId="4" applyFont="1" applyFill="1" applyBorder="1" applyAlignment="1">
      <alignment horizontal="center" wrapText="1"/>
    </xf>
    <xf numFmtId="0" fontId="79" fillId="0" borderId="26" xfId="4" applyFont="1" applyFill="1" applyBorder="1"/>
    <xf numFmtId="0" fontId="79" fillId="0" borderId="0" xfId="4" applyFont="1" applyFill="1" applyBorder="1" applyAlignment="1">
      <alignment horizontal="center"/>
    </xf>
    <xf numFmtId="1" fontId="79" fillId="0" borderId="6" xfId="4" applyNumberFormat="1" applyFont="1" applyFill="1" applyBorder="1"/>
    <xf numFmtId="9" fontId="83" fillId="0" borderId="0" xfId="4" applyNumberFormat="1" applyFont="1" applyFill="1" applyBorder="1" applyAlignment="1">
      <alignment horizontal="center"/>
    </xf>
    <xf numFmtId="0" fontId="79" fillId="0" borderId="16" xfId="4" applyFont="1" applyFill="1" applyBorder="1"/>
    <xf numFmtId="0" fontId="79" fillId="0" borderId="22" xfId="4" applyFont="1" applyFill="1" applyBorder="1"/>
    <xf numFmtId="1" fontId="79" fillId="0" borderId="0" xfId="4" applyNumberFormat="1" applyFont="1" applyFill="1" applyBorder="1"/>
    <xf numFmtId="0" fontId="79" fillId="0" borderId="0" xfId="4" quotePrefix="1" applyFont="1" applyFill="1" applyBorder="1" applyAlignment="1">
      <alignment horizontal="center"/>
    </xf>
    <xf numFmtId="0" fontId="79" fillId="0" borderId="0" xfId="4" applyFont="1" applyFill="1" applyBorder="1" applyAlignment="1">
      <alignment horizontal="left"/>
    </xf>
    <xf numFmtId="0" fontId="78" fillId="0" borderId="0" xfId="4" applyFont="1" applyFill="1" applyBorder="1"/>
    <xf numFmtId="0" fontId="78" fillId="0" borderId="0" xfId="4" applyFont="1" applyFill="1" applyBorder="1" applyAlignment="1"/>
    <xf numFmtId="0" fontId="81" fillId="0" borderId="0" xfId="4" applyFont="1" applyFill="1" applyBorder="1"/>
    <xf numFmtId="0" fontId="80" fillId="0" borderId="0" xfId="4" applyFont="1" applyFill="1" applyBorder="1"/>
    <xf numFmtId="44" fontId="78" fillId="0" borderId="0" xfId="4" applyNumberFormat="1" applyFont="1" applyFill="1" applyBorder="1" applyAlignment="1">
      <alignment horizontal="left"/>
    </xf>
    <xf numFmtId="171" fontId="79" fillId="0" borderId="0" xfId="4" applyNumberFormat="1" applyFont="1" applyFill="1" applyBorder="1" applyAlignment="1">
      <alignment horizontal="left"/>
    </xf>
    <xf numFmtId="44" fontId="79" fillId="0" borderId="0" xfId="4" applyNumberFormat="1" applyFont="1" applyFill="1" applyBorder="1" applyAlignment="1">
      <alignment horizontal="left"/>
    </xf>
    <xf numFmtId="42" fontId="78" fillId="0" borderId="0" xfId="2" applyNumberFormat="1" applyFont="1" applyFill="1" applyBorder="1" applyAlignment="1">
      <alignment horizontal="right"/>
    </xf>
    <xf numFmtId="165" fontId="78" fillId="0" borderId="0" xfId="2" applyNumberFormat="1" applyFont="1" applyFill="1" applyBorder="1" applyAlignment="1">
      <alignment horizontal="right"/>
    </xf>
    <xf numFmtId="0" fontId="83" fillId="0" borderId="0" xfId="4" applyFont="1" applyFill="1" applyBorder="1" applyAlignment="1">
      <alignment horizontal="left"/>
    </xf>
    <xf numFmtId="0" fontId="85" fillId="0" borderId="0" xfId="4" applyFont="1" applyFill="1" applyBorder="1"/>
    <xf numFmtId="0" fontId="83" fillId="0" borderId="0" xfId="4" applyFont="1" applyFill="1" applyBorder="1" applyAlignment="1"/>
    <xf numFmtId="0" fontId="82" fillId="0" borderId="0" xfId="4" applyFont="1" applyFill="1" applyBorder="1" applyAlignment="1">
      <alignment horizontal="center"/>
    </xf>
    <xf numFmtId="0" fontId="79" fillId="0" borderId="596" xfId="4" applyFont="1" applyFill="1" applyBorder="1"/>
    <xf numFmtId="0" fontId="88" fillId="0" borderId="596" xfId="4" applyFont="1" applyFill="1" applyBorder="1" applyAlignment="1">
      <alignment vertical="center"/>
    </xf>
    <xf numFmtId="0" fontId="88" fillId="0" borderId="596" xfId="4" applyFont="1" applyFill="1" applyBorder="1"/>
    <xf numFmtId="0" fontId="79" fillId="0" borderId="596" xfId="4" applyFont="1" applyFill="1" applyBorder="1" applyAlignment="1"/>
    <xf numFmtId="44" fontId="0" fillId="0" borderId="0" xfId="0" applyNumberFormat="1" applyFont="1" applyFill="1" applyProtection="1">
      <protection locked="0"/>
    </xf>
    <xf numFmtId="10" fontId="78" fillId="6" borderId="563" xfId="4" applyNumberFormat="1" applyFont="1" applyFill="1" applyBorder="1" applyAlignment="1">
      <alignment horizontal="right"/>
    </xf>
    <xf numFmtId="42" fontId="78" fillId="6" borderId="563" xfId="4" applyNumberFormat="1" applyFont="1" applyFill="1" applyBorder="1" applyAlignment="1">
      <alignment horizontal="right"/>
    </xf>
    <xf numFmtId="0" fontId="79" fillId="6" borderId="596" xfId="4" applyFont="1" applyFill="1" applyBorder="1"/>
    <xf numFmtId="0" fontId="79" fillId="0" borderId="25" xfId="4" applyFont="1" applyFill="1" applyBorder="1"/>
    <xf numFmtId="1" fontId="79" fillId="6" borderId="87" xfId="4" applyNumberFormat="1" applyFont="1" applyFill="1" applyBorder="1"/>
    <xf numFmtId="0" fontId="70" fillId="0" borderId="199" xfId="4" applyFont="1" applyFill="1" applyBorder="1" applyAlignment="1"/>
    <xf numFmtId="0" fontId="70" fillId="0" borderId="607" xfId="4" applyFont="1" applyFill="1" applyBorder="1" applyAlignment="1"/>
    <xf numFmtId="0" fontId="70" fillId="0" borderId="198" xfId="4" applyFont="1" applyFill="1" applyBorder="1" applyAlignment="1"/>
    <xf numFmtId="0" fontId="70" fillId="0" borderId="608" xfId="4" applyFont="1" applyFill="1" applyBorder="1" applyAlignment="1"/>
    <xf numFmtId="0" fontId="70" fillId="0" borderId="609" xfId="4" applyFont="1" applyFill="1" applyBorder="1" applyAlignment="1"/>
    <xf numFmtId="0" fontId="70" fillId="0" borderId="610" xfId="4" applyFont="1" applyFill="1" applyBorder="1" applyAlignment="1"/>
    <xf numFmtId="0" fontId="70" fillId="0" borderId="611" xfId="4" applyFont="1" applyFill="1" applyBorder="1" applyAlignment="1">
      <alignment horizontal="center"/>
    </xf>
    <xf numFmtId="0" fontId="70" fillId="0" borderId="613" xfId="4" applyFont="1" applyFill="1" applyBorder="1" applyAlignment="1"/>
    <xf numFmtId="0" fontId="70" fillId="0" borderId="614" xfId="4" applyFont="1" applyFill="1" applyBorder="1" applyAlignment="1"/>
    <xf numFmtId="0" fontId="70" fillId="0" borderId="612" xfId="4" applyFont="1" applyFill="1" applyBorder="1" applyAlignment="1"/>
    <xf numFmtId="0" fontId="82" fillId="6" borderId="233" xfId="4" applyFont="1" applyFill="1" applyBorder="1" applyProtection="1"/>
    <xf numFmtId="1" fontId="81" fillId="6" borderId="575" xfId="4" applyNumberFormat="1" applyFont="1" applyFill="1" applyBorder="1" applyProtection="1"/>
    <xf numFmtId="1" fontId="79" fillId="7" borderId="575" xfId="4" applyNumberFormat="1" applyFont="1" applyFill="1" applyBorder="1" applyProtection="1">
      <protection locked="0"/>
    </xf>
    <xf numFmtId="0" fontId="82" fillId="7" borderId="233" xfId="4" applyFont="1" applyFill="1" applyBorder="1" applyProtection="1">
      <protection locked="0"/>
    </xf>
    <xf numFmtId="1" fontId="79" fillId="7" borderId="575" xfId="4" applyNumberFormat="1" applyFont="1" applyFill="1" applyBorder="1" applyAlignment="1" applyProtection="1">
      <alignment horizontal="right"/>
      <protection locked="0"/>
    </xf>
    <xf numFmtId="0" fontId="82" fillId="6" borderId="233" xfId="4" applyFont="1" applyFill="1" applyBorder="1" applyAlignment="1" applyProtection="1">
      <alignment horizontal="right"/>
    </xf>
    <xf numFmtId="37" fontId="78" fillId="7" borderId="575" xfId="4" applyNumberFormat="1" applyFont="1" applyFill="1" applyBorder="1" applyAlignment="1" applyProtection="1">
      <alignment horizontal="right"/>
      <protection locked="0"/>
    </xf>
    <xf numFmtId="37" fontId="78" fillId="6" borderId="575" xfId="4" applyNumberFormat="1" applyFont="1" applyFill="1" applyBorder="1" applyAlignment="1" applyProtection="1">
      <alignment horizontal="right"/>
      <protection locked="0"/>
    </xf>
    <xf numFmtId="9" fontId="78" fillId="6" borderId="575" xfId="4" applyNumberFormat="1" applyFont="1" applyFill="1" applyBorder="1" applyAlignment="1" applyProtection="1">
      <alignment horizontal="right"/>
    </xf>
    <xf numFmtId="9" fontId="83" fillId="6" borderId="233" xfId="2" applyFont="1" applyFill="1" applyBorder="1" applyProtection="1"/>
    <xf numFmtId="0" fontId="83" fillId="6" borderId="233" xfId="4" applyFont="1" applyFill="1" applyBorder="1" applyProtection="1"/>
    <xf numFmtId="0" fontId="108" fillId="3" borderId="0" xfId="4" applyFont="1" applyFill="1" applyBorder="1" applyProtection="1"/>
    <xf numFmtId="0" fontId="80" fillId="6" borderId="575" xfId="4" applyFont="1" applyFill="1" applyBorder="1" applyAlignment="1" applyProtection="1">
      <alignment horizontal="right" vertical="top"/>
    </xf>
    <xf numFmtId="0" fontId="80" fillId="7" borderId="575" xfId="4" applyFont="1" applyFill="1" applyBorder="1" applyAlignment="1" applyProtection="1">
      <alignment horizontal="right" vertical="top"/>
      <protection locked="0"/>
    </xf>
    <xf numFmtId="0" fontId="82" fillId="6" borderId="596" xfId="4" applyFont="1" applyFill="1" applyBorder="1" applyAlignment="1" applyProtection="1">
      <alignment horizontal="right" vertical="center"/>
    </xf>
    <xf numFmtId="0" fontId="80" fillId="7" borderId="575" xfId="4" applyFont="1" applyFill="1" applyBorder="1" applyAlignment="1" applyProtection="1">
      <alignment horizontal="center" vertical="top"/>
      <protection locked="0"/>
    </xf>
    <xf numFmtId="9" fontId="79" fillId="6" borderId="575" xfId="2" applyFont="1" applyFill="1" applyBorder="1" applyAlignment="1" applyProtection="1">
      <alignment horizontal="right"/>
    </xf>
    <xf numFmtId="0" fontId="79" fillId="3" borderId="586" xfId="4" applyFont="1" applyFill="1" applyBorder="1" applyProtection="1"/>
    <xf numFmtId="10" fontId="78" fillId="6" borderId="575" xfId="2" applyNumberFormat="1" applyFont="1" applyFill="1" applyBorder="1" applyAlignment="1" applyProtection="1"/>
    <xf numFmtId="42" fontId="70" fillId="0" borderId="0" xfId="4" applyNumberFormat="1" applyFont="1" applyFill="1" applyBorder="1" applyAlignment="1"/>
    <xf numFmtId="3" fontId="78" fillId="6" borderId="563" xfId="4" applyNumberFormat="1" applyFont="1" applyFill="1" applyBorder="1" applyAlignment="1">
      <alignment horizontal="right"/>
    </xf>
    <xf numFmtId="0" fontId="78" fillId="6" borderId="563" xfId="2" applyNumberFormat="1" applyFont="1" applyFill="1" applyBorder="1" applyAlignment="1">
      <alignment horizontal="right"/>
    </xf>
    <xf numFmtId="9" fontId="79" fillId="7" borderId="25" xfId="2" applyFont="1" applyFill="1" applyBorder="1" applyAlignment="1" applyProtection="1">
      <alignment horizontal="center"/>
      <protection locked="0"/>
    </xf>
    <xf numFmtId="1" fontId="79" fillId="7" borderId="6" xfId="4" applyNumberFormat="1" applyFont="1" applyFill="1" applyBorder="1" applyProtection="1">
      <protection locked="0"/>
    </xf>
    <xf numFmtId="1" fontId="79" fillId="7" borderId="0" xfId="4" applyNumberFormat="1" applyFont="1" applyFill="1" applyBorder="1" applyProtection="1">
      <protection locked="0"/>
    </xf>
    <xf numFmtId="1" fontId="79" fillId="7" borderId="563" xfId="4" applyNumberFormat="1" applyFont="1" applyFill="1" applyBorder="1" applyAlignment="1" applyProtection="1">
      <alignment horizontal="right"/>
      <protection locked="0"/>
    </xf>
    <xf numFmtId="171" fontId="79" fillId="7" borderId="563" xfId="4" applyNumberFormat="1" applyFont="1" applyFill="1" applyBorder="1" applyAlignment="1" applyProtection="1">
      <alignment horizontal="left"/>
      <protection locked="0"/>
    </xf>
    <xf numFmtId="0" fontId="70" fillId="0" borderId="0" xfId="4" applyFont="1" applyFill="1" applyBorder="1" applyProtection="1">
      <protection locked="0"/>
    </xf>
    <xf numFmtId="0" fontId="15" fillId="0" borderId="0" xfId="0" applyFont="1" applyFill="1" applyBorder="1" applyAlignment="1" applyProtection="1"/>
    <xf numFmtId="0" fontId="20" fillId="16" borderId="0" xfId="0" applyFont="1" applyFill="1" applyBorder="1" applyAlignment="1" applyProtection="1"/>
    <xf numFmtId="0" fontId="15" fillId="0" borderId="0" xfId="0" applyFont="1" applyFill="1" applyBorder="1" applyAlignment="1" applyProtection="1"/>
    <xf numFmtId="42" fontId="15" fillId="25" borderId="56" xfId="0" applyNumberFormat="1" applyFont="1" applyFill="1" applyBorder="1" applyAlignment="1" applyProtection="1"/>
    <xf numFmtId="6" fontId="19" fillId="16" borderId="237" xfId="0" applyNumberFormat="1" applyFont="1" applyFill="1" applyBorder="1" applyAlignment="1" applyProtection="1">
      <alignment horizontal="center" vertical="center" wrapText="1"/>
    </xf>
    <xf numFmtId="6" fontId="19" fillId="16" borderId="152" xfId="0" applyNumberFormat="1" applyFont="1" applyFill="1" applyBorder="1" applyAlignment="1" applyProtection="1">
      <alignment horizontal="center" vertical="center" wrapText="1"/>
    </xf>
    <xf numFmtId="0" fontId="15" fillId="0" borderId="6" xfId="0" applyFont="1" applyFill="1" applyBorder="1" applyProtection="1">
      <protection locked="0"/>
    </xf>
    <xf numFmtId="166" fontId="50" fillId="0" borderId="559" xfId="0" applyNumberFormat="1" applyFont="1" applyFill="1" applyBorder="1" applyAlignment="1" applyProtection="1">
      <alignment horizontal="center" vertical="top" wrapText="1"/>
    </xf>
    <xf numFmtId="0" fontId="15" fillId="0" borderId="6" xfId="0" applyFont="1" applyFill="1" applyBorder="1" applyAlignment="1" applyProtection="1">
      <protection locked="0"/>
    </xf>
    <xf numFmtId="0" fontId="15" fillId="0" borderId="29" xfId="0" applyFont="1" applyFill="1" applyBorder="1" applyProtection="1">
      <protection locked="0"/>
    </xf>
    <xf numFmtId="0" fontId="70" fillId="0" borderId="0" xfId="4" applyFont="1" applyFill="1" applyBorder="1" applyAlignment="1">
      <alignment wrapText="1"/>
    </xf>
    <xf numFmtId="0" fontId="70" fillId="0" borderId="0" xfId="4" applyFont="1" applyFill="1" applyBorder="1" applyAlignment="1"/>
    <xf numFmtId="0" fontId="79" fillId="0" borderId="0" xfId="4" applyFont="1" applyFill="1" applyBorder="1" applyAlignment="1">
      <alignment wrapText="1"/>
    </xf>
    <xf numFmtId="0" fontId="70" fillId="0" borderId="0" xfId="4" applyFont="1" applyFill="1" applyBorder="1" applyAlignment="1">
      <alignment horizontal="center" wrapText="1"/>
    </xf>
    <xf numFmtId="0" fontId="0" fillId="0" borderId="0" xfId="0" applyFill="1"/>
    <xf numFmtId="0" fontId="70" fillId="3" borderId="0" xfId="4" applyFont="1" applyFill="1" applyBorder="1" applyAlignment="1" applyProtection="1">
      <alignment wrapText="1"/>
    </xf>
    <xf numFmtId="5" fontId="40" fillId="0" borderId="553" xfId="0" applyNumberFormat="1" applyFont="1" applyFill="1" applyBorder="1" applyProtection="1"/>
    <xf numFmtId="5" fontId="42" fillId="0" borderId="0" xfId="0" applyNumberFormat="1" applyFont="1" applyFill="1" applyBorder="1" applyProtection="1"/>
    <xf numFmtId="5" fontId="37" fillId="0" borderId="151" xfId="0" applyNumberFormat="1" applyFont="1" applyFill="1" applyBorder="1" applyProtection="1"/>
    <xf numFmtId="5" fontId="19" fillId="0" borderId="226" xfId="0" applyNumberFormat="1" applyFont="1" applyFill="1" applyBorder="1" applyAlignment="1" applyProtection="1">
      <alignment horizontal="center"/>
    </xf>
    <xf numFmtId="5" fontId="19" fillId="0" borderId="222" xfId="0" applyNumberFormat="1" applyFont="1" applyFill="1" applyBorder="1" applyAlignment="1" applyProtection="1">
      <alignment horizontal="center"/>
    </xf>
    <xf numFmtId="5" fontId="19" fillId="0" borderId="223" xfId="0" applyNumberFormat="1" applyFont="1" applyFill="1" applyBorder="1" applyAlignment="1" applyProtection="1">
      <alignment horizontal="center"/>
    </xf>
    <xf numFmtId="0" fontId="19" fillId="5" borderId="617" xfId="0" applyNumberFormat="1" applyFont="1" applyFill="1" applyBorder="1" applyAlignment="1" applyProtection="1">
      <alignment horizontal="center" vertical="center"/>
      <protection locked="0"/>
    </xf>
    <xf numFmtId="0" fontId="19" fillId="5" borderId="618" xfId="0" applyNumberFormat="1" applyFont="1" applyFill="1" applyBorder="1" applyAlignment="1" applyProtection="1">
      <alignment horizontal="center" vertical="center"/>
      <protection locked="0"/>
    </xf>
    <xf numFmtId="0" fontId="19" fillId="5" borderId="618" xfId="0" applyNumberFormat="1" applyFont="1" applyFill="1" applyBorder="1" applyAlignment="1" applyProtection="1">
      <alignment horizontal="center"/>
      <protection locked="0"/>
    </xf>
    <xf numFmtId="0" fontId="19" fillId="5" borderId="619" xfId="0" applyNumberFormat="1" applyFont="1" applyFill="1" applyBorder="1" applyAlignment="1" applyProtection="1">
      <alignment horizontal="center" vertical="center"/>
      <protection locked="0"/>
    </xf>
    <xf numFmtId="0" fontId="15" fillId="0" borderId="411" xfId="0" applyFont="1" applyFill="1" applyBorder="1" applyAlignment="1" applyProtection="1">
      <alignment vertical="center"/>
      <protection locked="0"/>
    </xf>
    <xf numFmtId="44" fontId="15" fillId="0" borderId="411" xfId="0" applyNumberFormat="1" applyFont="1" applyFill="1" applyBorder="1" applyAlignment="1" applyProtection="1">
      <alignment vertical="center"/>
      <protection locked="0"/>
    </xf>
    <xf numFmtId="44" fontId="15" fillId="0" borderId="412" xfId="0" applyNumberFormat="1" applyFont="1" applyFill="1" applyBorder="1" applyAlignment="1" applyProtection="1">
      <protection locked="0"/>
    </xf>
    <xf numFmtId="169" fontId="15" fillId="0" borderId="411" xfId="0" applyNumberFormat="1" applyFont="1" applyFill="1" applyBorder="1" applyAlignment="1" applyProtection="1">
      <protection locked="0"/>
    </xf>
    <xf numFmtId="1" fontId="15" fillId="0" borderId="412" xfId="0" applyNumberFormat="1" applyFont="1" applyFill="1" applyBorder="1" applyAlignment="1" applyProtection="1">
      <protection locked="0"/>
    </xf>
    <xf numFmtId="0" fontId="15" fillId="0" borderId="412" xfId="0" applyFont="1" applyFill="1" applyBorder="1" applyAlignment="1" applyProtection="1">
      <protection locked="0"/>
    </xf>
    <xf numFmtId="0" fontId="15" fillId="0" borderId="620" xfId="0" applyFont="1" applyFill="1" applyBorder="1" applyAlignment="1" applyProtection="1">
      <protection locked="0"/>
    </xf>
    <xf numFmtId="0" fontId="15" fillId="0" borderId="615" xfId="0" applyFont="1" applyFill="1" applyBorder="1" applyAlignment="1" applyProtection="1">
      <protection locked="0"/>
    </xf>
    <xf numFmtId="0" fontId="15" fillId="0" borderId="616" xfId="0" applyFont="1" applyFill="1" applyBorder="1" applyAlignment="1" applyProtection="1">
      <protection locked="0"/>
    </xf>
    <xf numFmtId="44" fontId="40" fillId="6" borderId="621" xfId="0" applyNumberFormat="1" applyFont="1" applyFill="1" applyBorder="1" applyProtection="1"/>
    <xf numFmtId="44" fontId="40" fillId="5" borderId="553" xfId="0" applyNumberFormat="1" applyFont="1" applyFill="1" applyBorder="1" applyProtection="1">
      <protection locked="0"/>
    </xf>
    <xf numFmtId="44" fontId="40" fillId="5" borderId="462" xfId="0" applyNumberFormat="1" applyFont="1" applyFill="1" applyBorder="1" applyProtection="1">
      <protection locked="0"/>
    </xf>
    <xf numFmtId="44" fontId="40" fillId="5" borderId="450" xfId="0" applyNumberFormat="1" applyFont="1" applyFill="1" applyBorder="1" applyProtection="1">
      <protection locked="0"/>
    </xf>
    <xf numFmtId="44" fontId="40" fillId="6" borderId="622" xfId="0" applyNumberFormat="1" applyFont="1" applyFill="1" applyBorder="1" applyProtection="1"/>
    <xf numFmtId="44" fontId="40" fillId="0" borderId="442" xfId="0" applyNumberFormat="1" applyFont="1" applyFill="1" applyBorder="1" applyProtection="1">
      <protection locked="0"/>
    </xf>
    <xf numFmtId="44" fontId="40" fillId="0" borderId="442" xfId="0" applyNumberFormat="1" applyFont="1" applyFill="1" applyBorder="1" applyProtection="1"/>
    <xf numFmtId="0" fontId="109" fillId="0" borderId="623" xfId="0" applyNumberFormat="1" applyFont="1" applyFill="1" applyBorder="1" applyProtection="1"/>
    <xf numFmtId="5" fontId="42" fillId="0" borderId="6" xfId="0" applyNumberFormat="1" applyFont="1" applyFill="1" applyBorder="1" applyProtection="1"/>
    <xf numFmtId="5" fontId="19" fillId="0" borderId="559" xfId="0" applyNumberFormat="1" applyFont="1" applyFill="1" applyBorder="1" applyProtection="1"/>
    <xf numFmtId="0" fontId="0" fillId="0" borderId="559" xfId="0" applyBorder="1" applyProtection="1"/>
    <xf numFmtId="0" fontId="0" fillId="0" borderId="559" xfId="0" applyFill="1" applyBorder="1" applyProtection="1"/>
    <xf numFmtId="0" fontId="0" fillId="16" borderId="0" xfId="0" applyFill="1" applyBorder="1" applyProtection="1"/>
    <xf numFmtId="0" fontId="37" fillId="16" borderId="5" xfId="0" applyFont="1" applyFill="1" applyBorder="1" applyAlignment="1" applyProtection="1">
      <alignment horizontal="center"/>
    </xf>
    <xf numFmtId="172" fontId="19" fillId="16" borderId="442" xfId="0" applyNumberFormat="1" applyFont="1" applyFill="1" applyBorder="1" applyAlignment="1" applyProtection="1">
      <alignment horizontal="center" vertical="center"/>
      <protection locked="0"/>
    </xf>
    <xf numFmtId="172" fontId="19" fillId="16" borderId="442" xfId="0" applyNumberFormat="1" applyFont="1" applyFill="1" applyBorder="1" applyAlignment="1" applyProtection="1">
      <alignment horizontal="center"/>
      <protection locked="0"/>
    </xf>
    <xf numFmtId="5" fontId="40" fillId="16" borderId="443" xfId="0" applyNumberFormat="1" applyFont="1" applyFill="1" applyBorder="1" applyProtection="1"/>
    <xf numFmtId="0" fontId="19" fillId="0" borderId="0" xfId="0" applyFont="1" applyFill="1" applyBorder="1" applyAlignment="1" applyProtection="1">
      <alignment horizontal="right"/>
    </xf>
    <xf numFmtId="171" fontId="0" fillId="0" borderId="0" xfId="1" applyNumberFormat="1" applyFont="1"/>
    <xf numFmtId="0" fontId="5" fillId="0" borderId="0" xfId="0" applyFont="1" applyBorder="1" applyAlignment="1" applyProtection="1">
      <alignment horizontal="right"/>
    </xf>
    <xf numFmtId="0" fontId="0" fillId="0" borderId="96" xfId="0" applyBorder="1" applyProtection="1">
      <protection locked="0"/>
    </xf>
    <xf numFmtId="42" fontId="22" fillId="6" borderId="393" xfId="0" applyNumberFormat="1" applyFont="1" applyFill="1" applyBorder="1" applyAlignment="1" applyProtection="1">
      <alignment vertical="center"/>
    </xf>
    <xf numFmtId="0" fontId="50" fillId="0" borderId="33" xfId="0" applyFont="1" applyFill="1" applyBorder="1" applyAlignment="1" applyProtection="1">
      <alignment wrapText="1"/>
      <protection locked="0"/>
    </xf>
    <xf numFmtId="0" fontId="50" fillId="0" borderId="0" xfId="0" applyFont="1" applyFill="1" applyBorder="1" applyAlignment="1" applyProtection="1">
      <alignment wrapText="1"/>
      <protection locked="0"/>
    </xf>
    <xf numFmtId="1" fontId="7" fillId="0" borderId="289" xfId="0" applyNumberFormat="1" applyFont="1" applyBorder="1" applyAlignment="1" applyProtection="1">
      <protection locked="0"/>
    </xf>
    <xf numFmtId="3" fontId="0" fillId="0" borderId="0" xfId="0" applyNumberFormat="1" applyFill="1" applyProtection="1">
      <protection locked="0"/>
    </xf>
    <xf numFmtId="9" fontId="7" fillId="8" borderId="553" xfId="0" applyNumberFormat="1" applyFont="1" applyFill="1" applyBorder="1" applyAlignment="1" applyProtection="1">
      <alignment vertical="center"/>
    </xf>
    <xf numFmtId="1" fontId="7" fillId="8" borderId="462" xfId="0" applyNumberFormat="1" applyFont="1" applyFill="1" applyBorder="1" applyAlignment="1" applyProtection="1"/>
    <xf numFmtId="1" fontId="7" fillId="0" borderId="430" xfId="0" applyNumberFormat="1" applyFont="1" applyBorder="1" applyAlignment="1" applyProtection="1">
      <protection locked="0"/>
    </xf>
    <xf numFmtId="166" fontId="16" fillId="0" borderId="559" xfId="0" applyNumberFormat="1" applyFont="1" applyFill="1" applyBorder="1" applyAlignment="1" applyProtection="1">
      <alignment wrapText="1"/>
    </xf>
    <xf numFmtId="166" fontId="16" fillId="0" borderId="559" xfId="0" applyNumberFormat="1" applyFont="1" applyFill="1" applyBorder="1" applyAlignment="1" applyProtection="1">
      <alignment horizontal="center" wrapText="1"/>
    </xf>
    <xf numFmtId="3" fontId="17" fillId="0" borderId="0" xfId="0" applyNumberFormat="1" applyFont="1" applyFill="1" applyBorder="1" applyAlignment="1" applyProtection="1"/>
    <xf numFmtId="0" fontId="16" fillId="0" borderId="0" xfId="0" applyFont="1" applyFill="1" applyAlignment="1" applyProtection="1">
      <alignment horizontal="center" vertical="center" wrapText="1"/>
    </xf>
    <xf numFmtId="0" fontId="79" fillId="0" borderId="95" xfId="4" applyFont="1" applyFill="1" applyBorder="1"/>
    <xf numFmtId="0" fontId="0" fillId="0" borderId="96" xfId="0" applyFill="1" applyBorder="1"/>
    <xf numFmtId="0" fontId="79" fillId="0" borderId="97" xfId="4" applyFont="1" applyFill="1" applyBorder="1"/>
    <xf numFmtId="0" fontId="79" fillId="0" borderId="98" xfId="4" applyFont="1" applyFill="1" applyBorder="1"/>
    <xf numFmtId="0" fontId="79" fillId="0" borderId="99" xfId="4" applyFont="1" applyFill="1" applyBorder="1"/>
    <xf numFmtId="0" fontId="0" fillId="0" borderId="98" xfId="0" applyFill="1" applyBorder="1"/>
    <xf numFmtId="0" fontId="0" fillId="0" borderId="99" xfId="0" applyFill="1" applyBorder="1"/>
    <xf numFmtId="0" fontId="70" fillId="0" borderId="99" xfId="4" applyFont="1" applyFill="1" applyBorder="1" applyAlignment="1">
      <alignment wrapText="1"/>
    </xf>
    <xf numFmtId="0" fontId="79" fillId="0" borderId="92" xfId="4" applyFont="1" applyFill="1" applyBorder="1"/>
    <xf numFmtId="0" fontId="79" fillId="0" borderId="93" xfId="4" applyFont="1" applyFill="1" applyBorder="1"/>
    <xf numFmtId="0" fontId="79" fillId="0" borderId="94" xfId="4" applyFont="1" applyFill="1" applyBorder="1"/>
    <xf numFmtId="0" fontId="92" fillId="3" borderId="0" xfId="4" applyFont="1" applyFill="1" applyBorder="1" applyProtection="1"/>
    <xf numFmtId="0" fontId="79" fillId="3" borderId="98" xfId="4" applyFont="1" applyFill="1" applyBorder="1" applyProtection="1"/>
    <xf numFmtId="0" fontId="79" fillId="3" borderId="99" xfId="4" applyFont="1" applyFill="1" applyBorder="1" applyProtection="1"/>
    <xf numFmtId="0" fontId="70" fillId="3" borderId="99" xfId="4" applyFont="1" applyFill="1" applyBorder="1" applyAlignment="1" applyProtection="1">
      <alignment wrapText="1"/>
    </xf>
    <xf numFmtId="0" fontId="79" fillId="0" borderId="98" xfId="4" applyFont="1" applyFill="1" applyBorder="1" applyProtection="1"/>
    <xf numFmtId="0" fontId="79" fillId="5" borderId="99" xfId="4" applyFont="1" applyFill="1" applyBorder="1" applyAlignment="1" applyProtection="1">
      <alignment horizontal="left"/>
    </xf>
    <xf numFmtId="0" fontId="79" fillId="5" borderId="99" xfId="4" applyFont="1" applyFill="1" applyBorder="1" applyProtection="1"/>
    <xf numFmtId="0" fontId="79" fillId="5" borderId="98" xfId="4" applyFont="1" applyFill="1" applyBorder="1" applyProtection="1"/>
    <xf numFmtId="0" fontId="79" fillId="5" borderId="98" xfId="4" applyFont="1" applyFill="1" applyBorder="1" applyAlignment="1" applyProtection="1">
      <alignment horizontal="left"/>
    </xf>
    <xf numFmtId="0" fontId="82" fillId="3" borderId="98" xfId="4" applyFont="1" applyFill="1" applyBorder="1" applyProtection="1"/>
    <xf numFmtId="0" fontId="14" fillId="0" borderId="0" xfId="5" applyFont="1" applyFill="1" applyBorder="1" applyProtection="1"/>
    <xf numFmtId="0" fontId="70" fillId="3" borderId="98" xfId="4" applyFont="1" applyFill="1" applyBorder="1" applyAlignment="1" applyProtection="1">
      <alignment wrapText="1"/>
    </xf>
    <xf numFmtId="0" fontId="87" fillId="3" borderId="99" xfId="4" applyFont="1" applyFill="1" applyBorder="1" applyProtection="1"/>
    <xf numFmtId="0" fontId="79" fillId="3" borderId="92" xfId="4" applyFont="1" applyFill="1" applyBorder="1" applyProtection="1"/>
    <xf numFmtId="0" fontId="79" fillId="3" borderId="93" xfId="4" applyFont="1" applyFill="1" applyBorder="1" applyProtection="1"/>
    <xf numFmtId="0" fontId="79" fillId="3" borderId="94" xfId="4" applyFont="1" applyFill="1" applyBorder="1" applyProtection="1"/>
    <xf numFmtId="44" fontId="79" fillId="3" borderId="0" xfId="4" applyNumberFormat="1" applyFont="1" applyFill="1" applyBorder="1" applyProtection="1"/>
    <xf numFmtId="10" fontId="79" fillId="3" borderId="559" xfId="2" applyNumberFormat="1" applyFont="1" applyFill="1" applyBorder="1" applyProtection="1"/>
    <xf numFmtId="0" fontId="15" fillId="0" borderId="553" xfId="0" applyFont="1" applyFill="1" applyBorder="1" applyProtection="1"/>
    <xf numFmtId="0" fontId="40" fillId="0" borderId="12" xfId="0" applyFont="1" applyFill="1" applyBorder="1" applyProtection="1"/>
    <xf numFmtId="0" fontId="15" fillId="0" borderId="139" xfId="0" applyFont="1" applyFill="1" applyBorder="1" applyAlignment="1" applyProtection="1">
      <protection locked="0"/>
    </xf>
    <xf numFmtId="0" fontId="15" fillId="9" borderId="287" xfId="0" applyNumberFormat="1" applyFont="1" applyFill="1" applyBorder="1" applyAlignment="1" applyProtection="1">
      <alignment horizontal="center"/>
    </xf>
    <xf numFmtId="0" fontId="14" fillId="0" borderId="0" xfId="0" applyFont="1" applyProtection="1"/>
    <xf numFmtId="0" fontId="57" fillId="0" borderId="45" xfId="0" applyFont="1" applyBorder="1" applyAlignment="1" applyProtection="1">
      <alignment wrapText="1"/>
    </xf>
    <xf numFmtId="0" fontId="20" fillId="16" borderId="0" xfId="0" applyFont="1" applyFill="1" applyBorder="1" applyAlignment="1" applyProtection="1"/>
    <xf numFmtId="0" fontId="0" fillId="0" borderId="0" xfId="0" applyBorder="1" applyProtection="1"/>
    <xf numFmtId="0" fontId="15" fillId="0" borderId="0" xfId="0" applyFont="1" applyBorder="1" applyProtection="1">
      <protection locked="0"/>
    </xf>
    <xf numFmtId="5" fontId="19" fillId="0" borderId="0" xfId="0" applyNumberFormat="1" applyFont="1" applyFill="1" applyBorder="1" applyAlignment="1" applyProtection="1">
      <alignment horizontal="center"/>
    </xf>
    <xf numFmtId="44" fontId="40" fillId="0" borderId="0" xfId="0" applyNumberFormat="1" applyFont="1" applyFill="1" applyBorder="1" applyProtection="1">
      <protection locked="0"/>
    </xf>
    <xf numFmtId="0" fontId="15" fillId="0" borderId="34" xfId="0" applyFont="1" applyBorder="1" applyProtection="1">
      <protection locked="0"/>
    </xf>
    <xf numFmtId="5" fontId="19" fillId="0" borderId="34" xfId="0" applyNumberFormat="1" applyFont="1" applyFill="1" applyBorder="1" applyAlignment="1" applyProtection="1">
      <alignment horizontal="center"/>
    </xf>
    <xf numFmtId="0" fontId="0" fillId="0" borderId="34" xfId="0" applyFill="1" applyBorder="1" applyProtection="1">
      <protection locked="0"/>
    </xf>
    <xf numFmtId="44" fontId="40" fillId="0" borderId="34" xfId="0" applyNumberFormat="1" applyFont="1" applyFill="1" applyBorder="1" applyProtection="1">
      <protection locked="0"/>
    </xf>
    <xf numFmtId="5" fontId="40" fillId="0" borderId="34" xfId="0" applyNumberFormat="1" applyFont="1" applyFill="1" applyBorder="1" applyProtection="1"/>
    <xf numFmtId="0" fontId="0" fillId="0" borderId="33" xfId="0" applyBorder="1"/>
    <xf numFmtId="0" fontId="0" fillId="0" borderId="35" xfId="0" applyBorder="1"/>
    <xf numFmtId="0" fontId="0" fillId="0" borderId="624" xfId="0" applyBorder="1" applyProtection="1"/>
    <xf numFmtId="0" fontId="20" fillId="0" borderId="34" xfId="0" applyFont="1" applyFill="1" applyBorder="1" applyAlignment="1" applyProtection="1"/>
    <xf numFmtId="0" fontId="20" fillId="0" borderId="0" xfId="0" applyFont="1" applyFill="1" applyBorder="1" applyAlignment="1" applyProtection="1"/>
    <xf numFmtId="0" fontId="20" fillId="0" borderId="33" xfId="0" applyFont="1" applyFill="1" applyBorder="1" applyAlignment="1" applyProtection="1"/>
    <xf numFmtId="5" fontId="19" fillId="0" borderId="133" xfId="0" applyNumberFormat="1" applyFont="1" applyFill="1" applyBorder="1" applyAlignment="1" applyProtection="1">
      <alignment horizontal="center"/>
    </xf>
    <xf numFmtId="44" fontId="40" fillId="6" borderId="137" xfId="0" applyNumberFormat="1" applyFont="1" applyFill="1" applyBorder="1" applyProtection="1"/>
    <xf numFmtId="0" fontId="110" fillId="16" borderId="0" xfId="0" applyFont="1" applyFill="1" applyBorder="1" applyProtection="1"/>
    <xf numFmtId="44" fontId="40" fillId="5" borderId="167" xfId="0" applyNumberFormat="1" applyFont="1" applyFill="1" applyBorder="1" applyProtection="1">
      <protection locked="0"/>
    </xf>
    <xf numFmtId="44" fontId="40" fillId="5" borderId="304" xfId="0" applyNumberFormat="1" applyFont="1" applyFill="1" applyBorder="1" applyProtection="1">
      <protection locked="0"/>
    </xf>
    <xf numFmtId="44" fontId="40" fillId="5" borderId="370" xfId="0" applyNumberFormat="1" applyFont="1" applyFill="1" applyBorder="1" applyProtection="1">
      <protection locked="0"/>
    </xf>
    <xf numFmtId="44" fontId="40" fillId="0" borderId="167" xfId="0" applyNumberFormat="1" applyFont="1" applyBorder="1" applyProtection="1">
      <protection locked="0"/>
    </xf>
    <xf numFmtId="44" fontId="40" fillId="0" borderId="304" xfId="0" applyNumberFormat="1" applyFont="1" applyBorder="1" applyProtection="1">
      <protection locked="0"/>
    </xf>
    <xf numFmtId="44" fontId="40" fillId="0" borderId="370" xfId="0" applyNumberFormat="1" applyFont="1" applyBorder="1" applyProtection="1">
      <protection locked="0"/>
    </xf>
    <xf numFmtId="0" fontId="19" fillId="0" borderId="34" xfId="0" applyNumberFormat="1" applyFont="1" applyFill="1" applyBorder="1" applyAlignment="1" applyProtection="1">
      <alignment horizontal="center" vertical="center"/>
      <protection locked="0"/>
    </xf>
    <xf numFmtId="0" fontId="19" fillId="0" borderId="0" xfId="0" applyNumberFormat="1" applyFont="1" applyFill="1" applyBorder="1" applyAlignment="1" applyProtection="1">
      <alignment horizontal="center" vertical="center"/>
      <protection locked="0"/>
    </xf>
    <xf numFmtId="172" fontId="19" fillId="0" borderId="34" xfId="0" applyNumberFormat="1" applyFont="1" applyFill="1" applyBorder="1" applyAlignment="1" applyProtection="1">
      <alignment horizontal="center" vertical="center"/>
      <protection locked="0"/>
    </xf>
    <xf numFmtId="172" fontId="19" fillId="0" borderId="0" xfId="0" applyNumberFormat="1" applyFont="1" applyFill="1" applyBorder="1" applyAlignment="1" applyProtection="1">
      <alignment horizontal="center" vertical="center"/>
      <protection locked="0"/>
    </xf>
    <xf numFmtId="44" fontId="40" fillId="0" borderId="34" xfId="0" applyNumberFormat="1" applyFont="1" applyFill="1" applyBorder="1" applyProtection="1"/>
    <xf numFmtId="44" fontId="40" fillId="0" borderId="0" xfId="0" applyNumberFormat="1" applyFont="1" applyFill="1" applyBorder="1" applyProtection="1"/>
    <xf numFmtId="172" fontId="19" fillId="16" borderId="443" xfId="0" applyNumberFormat="1" applyFont="1" applyFill="1" applyBorder="1" applyAlignment="1" applyProtection="1">
      <alignment horizontal="center" vertical="center"/>
      <protection locked="0"/>
    </xf>
    <xf numFmtId="0" fontId="19" fillId="5" borderId="625" xfId="0" applyNumberFormat="1" applyFont="1" applyFill="1" applyBorder="1" applyAlignment="1" applyProtection="1">
      <alignment horizontal="center" vertical="center"/>
      <protection locked="0"/>
    </xf>
    <xf numFmtId="0" fontId="15" fillId="6" borderId="233" xfId="0" applyFont="1" applyFill="1" applyBorder="1" applyProtection="1"/>
    <xf numFmtId="172" fontId="64" fillId="16" borderId="163" xfId="0" applyNumberFormat="1" applyFont="1" applyFill="1" applyBorder="1" applyAlignment="1" applyProtection="1">
      <alignment horizontal="left" vertical="center"/>
      <protection locked="0"/>
    </xf>
    <xf numFmtId="0" fontId="15" fillId="0" borderId="52" xfId="0" applyFont="1" applyFill="1" applyBorder="1" applyAlignment="1" applyProtection="1">
      <protection locked="0"/>
    </xf>
    <xf numFmtId="44" fontId="40" fillId="0" borderId="444" xfId="0" applyNumberFormat="1" applyFont="1" applyFill="1" applyBorder="1" applyAlignment="1" applyProtection="1">
      <alignment horizontal="right" vertical="center"/>
      <protection locked="0"/>
    </xf>
    <xf numFmtId="44" fontId="40" fillId="0" borderId="626" xfId="0" applyNumberFormat="1" applyFont="1" applyFill="1" applyBorder="1" applyAlignment="1" applyProtection="1">
      <alignment vertical="center"/>
      <protection locked="0"/>
    </xf>
    <xf numFmtId="44" fontId="40" fillId="0" borderId="627" xfId="0" applyNumberFormat="1" applyFont="1" applyFill="1" applyBorder="1" applyAlignment="1" applyProtection="1">
      <alignment vertical="center"/>
      <protection locked="0"/>
    </xf>
    <xf numFmtId="44" fontId="40" fillId="6" borderId="195" xfId="0" applyNumberFormat="1" applyFont="1" applyFill="1" applyBorder="1" applyAlignment="1" applyProtection="1">
      <alignment horizontal="right" vertical="center"/>
    </xf>
    <xf numFmtId="44" fontId="40" fillId="6" borderId="196" xfId="0" applyNumberFormat="1" applyFont="1" applyFill="1" applyBorder="1" applyAlignment="1" applyProtection="1">
      <alignment horizontal="right" vertical="center"/>
    </xf>
    <xf numFmtId="44" fontId="40" fillId="6" borderId="153" xfId="0" applyNumberFormat="1" applyFont="1" applyFill="1" applyBorder="1" applyAlignment="1" applyProtection="1">
      <alignment horizontal="right" vertical="center"/>
    </xf>
    <xf numFmtId="6" fontId="40" fillId="0" borderId="201" xfId="0" applyNumberFormat="1" applyFont="1" applyFill="1" applyBorder="1" applyAlignment="1" applyProtection="1">
      <alignment horizontal="right" vertical="center"/>
    </xf>
    <xf numFmtId="44" fontId="40" fillId="0" borderId="385" xfId="0" applyNumberFormat="1" applyFont="1" applyFill="1" applyBorder="1" applyAlignment="1" applyProtection="1">
      <alignment horizontal="right" vertical="center"/>
      <protection locked="0"/>
    </xf>
    <xf numFmtId="44" fontId="40" fillId="0" borderId="365" xfId="0" applyNumberFormat="1" applyFont="1" applyFill="1" applyBorder="1" applyAlignment="1" applyProtection="1">
      <alignment horizontal="right" vertical="center"/>
      <protection locked="0"/>
    </xf>
    <xf numFmtId="44" fontId="40" fillId="0" borderId="628" xfId="0" applyNumberFormat="1" applyFont="1" applyFill="1" applyBorder="1" applyAlignment="1" applyProtection="1">
      <alignment vertical="center"/>
      <protection locked="0"/>
    </xf>
    <xf numFmtId="44" fontId="40" fillId="0" borderId="629" xfId="0" applyNumberFormat="1" applyFont="1" applyFill="1" applyBorder="1" applyAlignment="1" applyProtection="1">
      <alignment vertical="center"/>
      <protection locked="0"/>
    </xf>
    <xf numFmtId="44" fontId="40" fillId="6" borderId="630" xfId="0" applyNumberFormat="1" applyFont="1" applyFill="1" applyBorder="1" applyAlignment="1" applyProtection="1">
      <alignment horizontal="right" vertical="center"/>
    </xf>
    <xf numFmtId="44" fontId="40" fillId="6" borderId="631" xfId="0" applyNumberFormat="1" applyFont="1" applyFill="1" applyBorder="1" applyAlignment="1" applyProtection="1">
      <alignment horizontal="right" vertical="center"/>
    </xf>
    <xf numFmtId="44" fontId="40" fillId="6" borderId="50" xfId="0" applyNumberFormat="1" applyFont="1" applyFill="1" applyBorder="1" applyAlignment="1" applyProtection="1">
      <alignment horizontal="right" vertical="center"/>
    </xf>
    <xf numFmtId="44" fontId="40" fillId="0" borderId="632" xfId="0" applyNumberFormat="1" applyFont="1" applyFill="1" applyBorder="1" applyAlignment="1" applyProtection="1">
      <alignment horizontal="right" vertical="center"/>
      <protection locked="0"/>
    </xf>
    <xf numFmtId="44" fontId="40" fillId="0" borderId="633" xfId="0" applyNumberFormat="1" applyFont="1" applyFill="1" applyBorder="1" applyAlignment="1" applyProtection="1">
      <alignment horizontal="right" vertical="center"/>
      <protection locked="0"/>
    </xf>
    <xf numFmtId="44" fontId="40" fillId="0" borderId="634" xfId="0" applyNumberFormat="1" applyFont="1" applyFill="1" applyBorder="1" applyAlignment="1" applyProtection="1">
      <alignment horizontal="right" vertical="center"/>
      <protection locked="0"/>
    </xf>
    <xf numFmtId="0" fontId="70" fillId="0" borderId="0" xfId="4" applyFont="1" applyFill="1" applyBorder="1" applyAlignment="1"/>
    <xf numFmtId="0" fontId="16" fillId="0" borderId="0" xfId="0" applyFont="1" applyFill="1" applyBorder="1" applyAlignment="1" applyProtection="1"/>
    <xf numFmtId="165" fontId="40" fillId="5" borderId="151" xfId="0" applyNumberFormat="1" applyFont="1" applyFill="1" applyBorder="1" applyAlignment="1" applyProtection="1">
      <alignment vertical="center"/>
      <protection locked="0"/>
    </xf>
    <xf numFmtId="165" fontId="15" fillId="0" borderId="151" xfId="0" applyNumberFormat="1" applyFont="1" applyFill="1" applyBorder="1" applyProtection="1">
      <protection locked="0"/>
    </xf>
    <xf numFmtId="0" fontId="16" fillId="7" borderId="87" xfId="0" applyFont="1" applyFill="1" applyBorder="1" applyAlignment="1" applyProtection="1">
      <alignment horizontal="center"/>
      <protection locked="0"/>
    </xf>
    <xf numFmtId="5" fontId="44" fillId="0" borderId="66" xfId="0" applyNumberFormat="1" applyFont="1" applyFill="1" applyBorder="1" applyProtection="1">
      <protection locked="0"/>
    </xf>
    <xf numFmtId="0" fontId="40" fillId="0" borderId="59" xfId="0" applyNumberFormat="1" applyFont="1" applyFill="1" applyBorder="1" applyProtection="1">
      <protection locked="0"/>
    </xf>
    <xf numFmtId="0" fontId="15" fillId="0" borderId="68" xfId="0" applyFont="1" applyFill="1" applyBorder="1" applyAlignment="1" applyProtection="1">
      <protection locked="0"/>
    </xf>
    <xf numFmtId="0" fontId="41" fillId="0" borderId="60" xfId="0" applyNumberFormat="1" applyFont="1" applyBorder="1" applyProtection="1">
      <protection locked="0"/>
    </xf>
    <xf numFmtId="0" fontId="41" fillId="0" borderId="68" xfId="0" applyNumberFormat="1" applyFont="1" applyBorder="1" applyProtection="1">
      <protection locked="0"/>
    </xf>
    <xf numFmtId="0" fontId="100" fillId="3" borderId="0" xfId="4" applyFont="1" applyFill="1" applyBorder="1" applyAlignment="1" applyProtection="1">
      <alignment wrapText="1"/>
      <protection locked="0"/>
    </xf>
    <xf numFmtId="0" fontId="101" fillId="5" borderId="0" xfId="4" applyFont="1" applyFill="1" applyBorder="1" applyAlignment="1" applyProtection="1">
      <alignment horizontal="left"/>
      <protection locked="0"/>
    </xf>
    <xf numFmtId="0" fontId="101" fillId="3" borderId="0" xfId="4" applyFont="1" applyFill="1" applyBorder="1" applyProtection="1">
      <protection locked="0"/>
    </xf>
    <xf numFmtId="0" fontId="111" fillId="0" borderId="0" xfId="0" applyFont="1"/>
    <xf numFmtId="42" fontId="0" fillId="0" borderId="0" xfId="0" applyNumberFormat="1"/>
    <xf numFmtId="0" fontId="0" fillId="0" borderId="20" xfId="0" applyFont="1" applyBorder="1" applyAlignment="1"/>
    <xf numFmtId="0" fontId="0" fillId="0" borderId="0" xfId="0" applyNumberFormat="1"/>
    <xf numFmtId="0" fontId="0" fillId="0" borderId="20" xfId="0" applyNumberFormat="1" applyFont="1" applyBorder="1" applyAlignment="1"/>
    <xf numFmtId="0" fontId="112" fillId="0" borderId="0" xfId="0" applyNumberFormat="1" applyFont="1" applyAlignment="1"/>
    <xf numFmtId="0" fontId="112" fillId="34" borderId="638" xfId="0" applyNumberFormat="1" applyFont="1" applyFill="1" applyBorder="1" applyAlignment="1">
      <alignment vertical="center"/>
    </xf>
    <xf numFmtId="44" fontId="0" fillId="0" borderId="0" xfId="0" applyNumberFormat="1"/>
    <xf numFmtId="0" fontId="0" fillId="13" borderId="0" xfId="0" applyFill="1"/>
    <xf numFmtId="0" fontId="0" fillId="22" borderId="0" xfId="0" applyFill="1"/>
    <xf numFmtId="0" fontId="0" fillId="35" borderId="0" xfId="0" applyFill="1"/>
    <xf numFmtId="14" fontId="0" fillId="0" borderId="0" xfId="0" applyNumberFormat="1"/>
    <xf numFmtId="0" fontId="113" fillId="5" borderId="253" xfId="0" applyFont="1" applyFill="1" applyBorder="1" applyAlignment="1" applyProtection="1">
      <protection locked="0"/>
    </xf>
    <xf numFmtId="0" fontId="113" fillId="5" borderId="289" xfId="0" applyFont="1" applyFill="1" applyBorder="1" applyAlignment="1" applyProtection="1">
      <protection locked="0"/>
    </xf>
    <xf numFmtId="0" fontId="114" fillId="0" borderId="280" xfId="0" applyFont="1" applyBorder="1" applyAlignment="1" applyProtection="1">
      <protection locked="0"/>
    </xf>
    <xf numFmtId="0" fontId="113" fillId="5" borderId="280" xfId="0" applyFont="1" applyFill="1" applyBorder="1" applyAlignment="1" applyProtection="1">
      <protection locked="0"/>
    </xf>
    <xf numFmtId="3" fontId="0" fillId="0" borderId="0" xfId="0" applyNumberFormat="1"/>
    <xf numFmtId="0" fontId="0" fillId="0" borderId="460" xfId="0" applyBorder="1" applyAlignment="1" applyProtection="1">
      <alignment vertical="top"/>
    </xf>
    <xf numFmtId="0" fontId="0" fillId="0" borderId="461"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2" xfId="0" applyBorder="1" applyAlignment="1" applyProtection="1">
      <alignment vertical="top"/>
    </xf>
    <xf numFmtId="0" fontId="20" fillId="16" borderId="0" xfId="0" applyFont="1" applyFill="1" applyBorder="1" applyProtection="1"/>
    <xf numFmtId="0" fontId="15" fillId="0" borderId="0" xfId="0" applyFont="1" applyFill="1" applyBorder="1" applyAlignment="1" applyProtection="1"/>
    <xf numFmtId="0" fontId="15" fillId="0" borderId="0" xfId="0" applyFont="1" applyFill="1" applyBorder="1" applyAlignment="1" applyProtection="1">
      <alignment horizontal="right" vertical="center"/>
    </xf>
    <xf numFmtId="0" fontId="15" fillId="0" borderId="15" xfId="0" applyFont="1" applyFill="1" applyBorder="1" applyAlignment="1" applyProtection="1">
      <alignment horizontal="left" vertical="top" wrapText="1"/>
      <protection locked="0"/>
    </xf>
    <xf numFmtId="0" fontId="15" fillId="0" borderId="19" xfId="0" applyFont="1" applyFill="1" applyBorder="1" applyAlignment="1" applyProtection="1">
      <alignment horizontal="left" vertical="top" wrapText="1"/>
      <protection locked="0"/>
    </xf>
    <xf numFmtId="0" fontId="15" fillId="0" borderId="21" xfId="0" applyFont="1" applyFill="1" applyBorder="1" applyAlignment="1" applyProtection="1">
      <alignment horizontal="left" vertical="top" wrapText="1"/>
      <protection locked="0"/>
    </xf>
    <xf numFmtId="0" fontId="15" fillId="0" borderId="25"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26" xfId="0" applyFont="1" applyFill="1" applyBorder="1" applyAlignment="1" applyProtection="1">
      <alignment horizontal="left" vertical="top" wrapText="1"/>
      <protection locked="0"/>
    </xf>
    <xf numFmtId="0" fontId="15" fillId="0" borderId="16" xfId="0" applyFont="1" applyFill="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0" fontId="15" fillId="0" borderId="22" xfId="0" applyFont="1" applyFill="1" applyBorder="1" applyAlignment="1" applyProtection="1">
      <alignment horizontal="left" vertical="top" wrapText="1"/>
      <protection locked="0"/>
    </xf>
    <xf numFmtId="0" fontId="15" fillId="0" borderId="25" xfId="0" applyFont="1" applyFill="1" applyBorder="1" applyAlignment="1" applyProtection="1">
      <alignment horizontal="right" vertical="center"/>
    </xf>
    <xf numFmtId="0" fontId="15" fillId="0" borderId="26" xfId="0" applyFont="1" applyFill="1" applyBorder="1" applyAlignment="1" applyProtection="1">
      <alignment horizontal="right" vertical="center"/>
    </xf>
    <xf numFmtId="0" fontId="15" fillId="0" borderId="6" xfId="0" applyFont="1" applyFill="1" applyBorder="1" applyAlignment="1" applyProtection="1">
      <alignment horizontal="left"/>
      <protection locked="0"/>
    </xf>
    <xf numFmtId="0" fontId="15" fillId="0" borderId="6" xfId="0" applyFont="1" applyFill="1" applyBorder="1" applyProtection="1">
      <protection locked="0"/>
    </xf>
    <xf numFmtId="0" fontId="15" fillId="0" borderId="6" xfId="0" quotePrefix="1" applyFont="1" applyFill="1" applyBorder="1" applyAlignment="1" applyProtection="1">
      <alignment horizontal="left"/>
      <protection locked="0"/>
    </xf>
    <xf numFmtId="0" fontId="47" fillId="0" borderId="0" xfId="0" applyFont="1" applyFill="1" applyBorder="1" applyAlignment="1" applyProtection="1">
      <alignment horizontal="left" vertical="top" wrapText="1"/>
    </xf>
    <xf numFmtId="0" fontId="49" fillId="0" borderId="6" xfId="0" applyFont="1" applyFill="1" applyBorder="1" applyAlignment="1" applyProtection="1">
      <alignment horizontal="left"/>
      <protection locked="0"/>
    </xf>
    <xf numFmtId="0" fontId="19" fillId="0" borderId="6" xfId="0" applyFont="1" applyFill="1" applyBorder="1" applyAlignment="1" applyProtection="1">
      <alignment horizontal="left"/>
      <protection locked="0"/>
    </xf>
    <xf numFmtId="0" fontId="16" fillId="0" borderId="228" xfId="0" applyFont="1" applyBorder="1" applyAlignment="1" applyProtection="1"/>
    <xf numFmtId="0" fontId="50" fillId="0" borderId="93" xfId="0" applyFont="1" applyBorder="1" applyAlignment="1" applyProtection="1">
      <alignment horizontal="center"/>
    </xf>
    <xf numFmtId="0" fontId="23" fillId="27" borderId="222" xfId="0" applyFont="1" applyFill="1" applyBorder="1" applyAlignment="1" applyProtection="1">
      <alignment horizontal="center" vertical="center"/>
    </xf>
    <xf numFmtId="0" fontId="23" fillId="27" borderId="79" xfId="0" applyFont="1" applyFill="1" applyBorder="1" applyAlignment="1" applyProtection="1">
      <alignment horizontal="center" vertical="center"/>
    </xf>
    <xf numFmtId="0" fontId="39" fillId="16" borderId="222" xfId="0" applyFont="1" applyFill="1" applyBorder="1" applyAlignment="1" applyProtection="1">
      <alignment horizontal="center" vertical="center" wrapText="1"/>
    </xf>
    <xf numFmtId="0" fontId="39" fillId="16" borderId="4" xfId="0" applyFont="1" applyFill="1" applyBorder="1" applyAlignment="1" applyProtection="1">
      <alignment horizontal="center" vertical="center" wrapText="1"/>
    </xf>
    <xf numFmtId="0" fontId="16" fillId="0" borderId="0" xfId="0" applyFont="1" applyAlignment="1" applyProtection="1">
      <alignment horizontal="left" wrapText="1"/>
    </xf>
    <xf numFmtId="0" fontId="20"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6" fillId="0" borderId="228" xfId="0" applyFont="1" applyFill="1" applyBorder="1" applyAlignment="1" applyProtection="1"/>
    <xf numFmtId="0" fontId="2" fillId="7" borderId="163" xfId="0" applyFont="1" applyFill="1" applyBorder="1" applyAlignment="1" applyProtection="1"/>
    <xf numFmtId="0" fontId="2" fillId="7" borderId="442" xfId="0" applyFont="1" applyFill="1" applyBorder="1" applyAlignment="1" applyProtection="1"/>
    <xf numFmtId="0" fontId="2" fillId="7" borderId="449" xfId="0" applyFont="1" applyFill="1" applyBorder="1" applyAlignment="1" applyProtection="1"/>
    <xf numFmtId="0" fontId="39" fillId="16" borderId="226" xfId="0" applyFont="1" applyFill="1" applyBorder="1" applyAlignment="1" applyProtection="1">
      <alignment horizontal="center" vertical="center" wrapText="1"/>
    </xf>
    <xf numFmtId="0" fontId="39" fillId="16" borderId="22" xfId="0" applyFont="1" applyFill="1" applyBorder="1" applyAlignment="1" applyProtection="1">
      <alignment horizontal="center" vertical="center" wrapText="1"/>
    </xf>
    <xf numFmtId="0" fontId="39" fillId="16" borderId="223" xfId="0" applyFont="1" applyFill="1" applyBorder="1" applyAlignment="1" applyProtection="1">
      <alignment horizontal="center" vertical="center" wrapText="1"/>
    </xf>
    <xf numFmtId="0" fontId="39" fillId="16" borderId="11" xfId="0" applyFont="1" applyFill="1" applyBorder="1" applyAlignment="1" applyProtection="1">
      <alignment horizontal="center" vertical="center" wrapText="1"/>
    </xf>
    <xf numFmtId="0" fontId="39" fillId="6" borderId="220" xfId="0" applyFont="1" applyFill="1" applyBorder="1" applyAlignment="1" applyProtection="1">
      <alignment horizontal="center" vertical="center" wrapText="1"/>
    </xf>
    <xf numFmtId="0" fontId="39" fillId="6" borderId="229" xfId="0" applyFont="1" applyFill="1" applyBorder="1" applyAlignment="1" applyProtection="1">
      <alignment horizontal="center" vertical="center" wrapText="1"/>
    </xf>
    <xf numFmtId="0" fontId="39" fillId="6" borderId="222" xfId="0" applyFont="1" applyFill="1" applyBorder="1" applyAlignment="1" applyProtection="1">
      <alignment horizontal="center" vertical="center" wrapText="1"/>
    </xf>
    <xf numFmtId="0" fontId="39" fillId="6" borderId="4" xfId="0" applyFont="1" applyFill="1" applyBorder="1" applyAlignment="1" applyProtection="1">
      <alignment horizontal="center" vertical="center" wrapText="1"/>
    </xf>
    <xf numFmtId="0" fontId="75" fillId="16" borderId="0" xfId="0" applyFont="1" applyFill="1" applyBorder="1" applyAlignment="1" applyProtection="1"/>
    <xf numFmtId="0" fontId="1" fillId="0" borderId="0" xfId="0" applyFont="1" applyFill="1" applyBorder="1" applyProtection="1"/>
    <xf numFmtId="0" fontId="17" fillId="0" borderId="6" xfId="0" applyNumberFormat="1" applyFont="1" applyFill="1" applyBorder="1" applyAlignment="1" applyProtection="1">
      <alignment horizontal="left"/>
    </xf>
    <xf numFmtId="0" fontId="14" fillId="0" borderId="54" xfId="0" applyFont="1" applyFill="1" applyBorder="1" applyAlignment="1" applyProtection="1">
      <alignment horizontal="center"/>
      <protection locked="0"/>
    </xf>
    <xf numFmtId="0" fontId="14" fillId="0" borderId="55" xfId="0" applyFont="1" applyFill="1" applyBorder="1" applyAlignment="1" applyProtection="1">
      <alignment horizontal="center"/>
      <protection locked="0"/>
    </xf>
    <xf numFmtId="16" fontId="0" fillId="0" borderId="492" xfId="0" applyNumberFormat="1" applyFont="1" applyFill="1" applyBorder="1" applyProtection="1"/>
    <xf numFmtId="16" fontId="1" fillId="0" borderId="493" xfId="0" applyNumberFormat="1" applyFont="1" applyFill="1" applyBorder="1" applyProtection="1"/>
    <xf numFmtId="16" fontId="1" fillId="0" borderId="494" xfId="0" applyNumberFormat="1" applyFont="1" applyFill="1" applyBorder="1" applyProtection="1"/>
    <xf numFmtId="16" fontId="0" fillId="0" borderId="473" xfId="0" applyNumberFormat="1" applyFont="1" applyFill="1" applyBorder="1" applyProtection="1"/>
    <xf numFmtId="16" fontId="1" fillId="0" borderId="474" xfId="0" applyNumberFormat="1" applyFont="1" applyFill="1" applyBorder="1" applyProtection="1"/>
    <xf numFmtId="16" fontId="1" fillId="0" borderId="475" xfId="0" applyNumberFormat="1" applyFont="1" applyFill="1" applyBorder="1" applyProtection="1"/>
    <xf numFmtId="16" fontId="0" fillId="0" borderId="479" xfId="0" applyNumberFormat="1" applyFont="1" applyFill="1" applyBorder="1" applyProtection="1"/>
    <xf numFmtId="16" fontId="1" fillId="0" borderId="480" xfId="0" applyNumberFormat="1" applyFont="1" applyFill="1" applyBorder="1" applyProtection="1"/>
    <xf numFmtId="16" fontId="1" fillId="0" borderId="481" xfId="0" applyNumberFormat="1" applyFont="1" applyFill="1" applyBorder="1" applyProtection="1"/>
    <xf numFmtId="0" fontId="1" fillId="0" borderId="479" xfId="0" applyFont="1" applyFill="1" applyBorder="1" applyProtection="1"/>
    <xf numFmtId="0" fontId="1" fillId="0" borderId="480" xfId="0" applyFont="1" applyFill="1" applyBorder="1" applyProtection="1"/>
    <xf numFmtId="0" fontId="1" fillId="0" borderId="481" xfId="0" applyFont="1" applyFill="1" applyBorder="1" applyProtection="1"/>
    <xf numFmtId="0" fontId="0" fillId="0" borderId="479" xfId="0" applyFont="1" applyFill="1" applyBorder="1" applyProtection="1"/>
    <xf numFmtId="0" fontId="0" fillId="0" borderId="485" xfId="0" applyFont="1" applyFill="1" applyBorder="1" applyProtection="1"/>
    <xf numFmtId="0" fontId="1" fillId="0" borderId="486" xfId="0" applyFont="1" applyFill="1" applyBorder="1" applyProtection="1"/>
    <xf numFmtId="0" fontId="1" fillId="0" borderId="487" xfId="0" applyFont="1" applyFill="1" applyBorder="1" applyProtection="1"/>
    <xf numFmtId="16" fontId="0" fillId="0" borderId="488" xfId="0" applyNumberFormat="1" applyFont="1" applyFill="1" applyBorder="1" applyProtection="1"/>
    <xf numFmtId="16" fontId="1" fillId="0" borderId="489" xfId="0" applyNumberFormat="1" applyFont="1" applyFill="1" applyBorder="1" applyProtection="1"/>
    <xf numFmtId="16" fontId="1" fillId="0" borderId="490" xfId="0" applyNumberFormat="1" applyFont="1" applyFill="1" applyBorder="1" applyProtection="1"/>
    <xf numFmtId="16" fontId="1" fillId="0" borderId="492" xfId="0" applyNumberFormat="1" applyFont="1" applyFill="1" applyBorder="1" applyProtection="1"/>
    <xf numFmtId="16" fontId="23" fillId="0" borderId="492" xfId="0" applyNumberFormat="1" applyFont="1" applyFill="1" applyBorder="1" applyAlignment="1" applyProtection="1">
      <alignment vertical="top"/>
    </xf>
    <xf numFmtId="16" fontId="23" fillId="0" borderId="493" xfId="0" applyNumberFormat="1" applyFont="1" applyFill="1" applyBorder="1" applyAlignment="1" applyProtection="1">
      <alignment vertical="top"/>
    </xf>
    <xf numFmtId="16" fontId="23" fillId="0" borderId="494" xfId="0" applyNumberFormat="1" applyFont="1" applyFill="1" applyBorder="1" applyAlignment="1" applyProtection="1">
      <alignment vertical="top"/>
    </xf>
    <xf numFmtId="16" fontId="1" fillId="0" borderId="495" xfId="0" applyNumberFormat="1" applyFont="1" applyFill="1" applyBorder="1" applyProtection="1"/>
    <xf numFmtId="16" fontId="1" fillId="0" borderId="496" xfId="0" applyNumberFormat="1" applyFont="1" applyFill="1" applyBorder="1" applyProtection="1"/>
    <xf numFmtId="16" fontId="1" fillId="0" borderId="497" xfId="0" applyNumberFormat="1" applyFont="1" applyFill="1" applyBorder="1" applyProtection="1"/>
    <xf numFmtId="16" fontId="1" fillId="0" borderId="488" xfId="0" applyNumberFormat="1" applyFont="1" applyFill="1" applyBorder="1" applyProtection="1"/>
    <xf numFmtId="16" fontId="1" fillId="0" borderId="505" xfId="0" applyNumberFormat="1" applyFont="1" applyFill="1" applyBorder="1" applyProtection="1"/>
    <xf numFmtId="16" fontId="1" fillId="0" borderId="516" xfId="0" applyNumberFormat="1" applyFont="1" applyFill="1" applyBorder="1" applyProtection="1"/>
    <xf numFmtId="16" fontId="1" fillId="0" borderId="501" xfId="0" applyNumberFormat="1" applyFont="1" applyFill="1" applyBorder="1" applyProtection="1"/>
    <xf numFmtId="16" fontId="0" fillId="0" borderId="505" xfId="0" applyNumberFormat="1" applyFont="1" applyFill="1" applyBorder="1" applyProtection="1"/>
    <xf numFmtId="16" fontId="0" fillId="0" borderId="506" xfId="0" applyNumberFormat="1" applyFont="1" applyFill="1" applyBorder="1" applyProtection="1"/>
    <xf numFmtId="16" fontId="1" fillId="0" borderId="507" xfId="0" applyNumberFormat="1" applyFont="1" applyFill="1" applyBorder="1" applyProtection="1"/>
    <xf numFmtId="16" fontId="1" fillId="0" borderId="508" xfId="0" applyNumberFormat="1" applyFont="1" applyFill="1" applyBorder="1" applyProtection="1"/>
    <xf numFmtId="16" fontId="0" fillId="0" borderId="513" xfId="0" applyNumberFormat="1" applyFont="1" applyFill="1" applyBorder="1" applyProtection="1"/>
    <xf numFmtId="16" fontId="0" fillId="0" borderId="489" xfId="0" applyNumberFormat="1" applyFont="1" applyFill="1" applyBorder="1" applyProtection="1"/>
    <xf numFmtId="16" fontId="0" fillId="0" borderId="514" xfId="0" applyNumberFormat="1" applyFont="1" applyFill="1" applyBorder="1" applyProtection="1"/>
    <xf numFmtId="16" fontId="0" fillId="0" borderId="493" xfId="0" applyNumberFormat="1" applyFont="1" applyFill="1" applyBorder="1" applyProtection="1"/>
    <xf numFmtId="16" fontId="0" fillId="0" borderId="516" xfId="0" applyNumberFormat="1" applyFont="1" applyFill="1" applyBorder="1" applyProtection="1"/>
    <xf numFmtId="0" fontId="14" fillId="0" borderId="505" xfId="0" applyFont="1" applyFill="1" applyBorder="1" applyProtection="1"/>
    <xf numFmtId="0" fontId="14" fillId="0" borderId="493" xfId="0" applyFont="1" applyFill="1" applyBorder="1" applyProtection="1"/>
    <xf numFmtId="0" fontId="14" fillId="0" borderId="516" xfId="0" applyFont="1" applyFill="1" applyBorder="1" applyProtection="1"/>
    <xf numFmtId="0" fontId="14" fillId="0" borderId="505" xfId="0" applyFont="1" applyFill="1" applyBorder="1" applyAlignment="1" applyProtection="1"/>
    <xf numFmtId="0" fontId="14" fillId="0" borderId="493" xfId="0" applyFont="1" applyFill="1" applyBorder="1" applyAlignment="1" applyProtection="1"/>
    <xf numFmtId="0" fontId="14" fillId="0" borderId="516" xfId="0" applyFont="1" applyFill="1" applyBorder="1" applyAlignment="1" applyProtection="1"/>
    <xf numFmtId="16" fontId="0" fillId="0" borderId="505" xfId="0" applyNumberFormat="1" applyFont="1" applyFill="1" applyBorder="1" applyAlignment="1" applyProtection="1"/>
    <xf numFmtId="16" fontId="1" fillId="0" borderId="493" xfId="0" applyNumberFormat="1" applyFont="1" applyFill="1" applyBorder="1" applyAlignment="1" applyProtection="1"/>
    <xf numFmtId="16" fontId="1" fillId="0" borderId="516" xfId="0" applyNumberFormat="1" applyFont="1" applyFill="1" applyBorder="1" applyAlignment="1" applyProtection="1"/>
    <xf numFmtId="0" fontId="14" fillId="0" borderId="518" xfId="0" applyFont="1" applyFill="1" applyBorder="1" applyAlignment="1" applyProtection="1"/>
    <xf numFmtId="0" fontId="14" fillId="0" borderId="496" xfId="0" applyFont="1" applyFill="1" applyBorder="1" applyAlignment="1" applyProtection="1"/>
    <xf numFmtId="0" fontId="14" fillId="0" borderId="519" xfId="0" applyFont="1" applyFill="1" applyBorder="1" applyAlignment="1" applyProtection="1"/>
    <xf numFmtId="16" fontId="1" fillId="0" borderId="513" xfId="0" applyNumberFormat="1" applyFont="1" applyFill="1" applyBorder="1" applyProtection="1"/>
    <xf numFmtId="16" fontId="1" fillId="0" borderId="514" xfId="0" applyNumberFormat="1" applyFont="1" applyFill="1" applyBorder="1" applyProtection="1"/>
    <xf numFmtId="16" fontId="0" fillId="0" borderId="513" xfId="0" applyNumberFormat="1" applyFont="1" applyFill="1" applyBorder="1" applyAlignment="1" applyProtection="1"/>
    <xf numFmtId="16" fontId="0" fillId="0" borderId="489" xfId="0" applyNumberFormat="1" applyFont="1" applyFill="1" applyBorder="1" applyAlignment="1" applyProtection="1"/>
    <xf numFmtId="16" fontId="0" fillId="0" borderId="514" xfId="0" applyNumberFormat="1" applyFont="1" applyFill="1" applyBorder="1" applyAlignment="1" applyProtection="1"/>
    <xf numFmtId="16" fontId="1" fillId="0" borderId="518" xfId="0" applyNumberFormat="1" applyFont="1" applyFill="1" applyBorder="1" applyProtection="1"/>
    <xf numFmtId="16" fontId="1" fillId="0" borderId="519" xfId="0" applyNumberFormat="1" applyFont="1" applyFill="1" applyBorder="1" applyProtection="1"/>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6" fillId="0" borderId="228" xfId="0" applyFont="1" applyBorder="1" applyProtection="1"/>
    <xf numFmtId="0" fontId="5" fillId="0" borderId="0" xfId="0" applyFont="1" applyBorder="1" applyAlignment="1" applyProtection="1">
      <alignment horizontal="center" wrapText="1"/>
    </xf>
    <xf numFmtId="0" fontId="5" fillId="0" borderId="6" xfId="0" applyFont="1" applyBorder="1" applyAlignment="1" applyProtection="1">
      <alignment horizontal="center" wrapText="1"/>
    </xf>
    <xf numFmtId="0" fontId="16" fillId="0" borderId="77" xfId="0" applyFont="1" applyFill="1" applyBorder="1" applyAlignment="1" applyProtection="1"/>
    <xf numFmtId="0" fontId="20"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0" fillId="16" borderId="0" xfId="0" applyFont="1" applyFill="1" applyBorder="1" applyAlignment="1" applyProtection="1"/>
    <xf numFmtId="0" fontId="27" fillId="13" borderId="51" xfId="0" applyFont="1" applyFill="1" applyBorder="1" applyAlignment="1" applyProtection="1">
      <alignment horizontal="center"/>
    </xf>
    <xf numFmtId="0" fontId="27" fillId="13" borderId="129" xfId="0" applyFont="1" applyFill="1" applyBorder="1" applyAlignment="1" applyProtection="1">
      <alignment horizontal="center"/>
    </xf>
    <xf numFmtId="0" fontId="27" fillId="7" borderId="128" xfId="0" applyFont="1" applyFill="1" applyBorder="1" applyAlignment="1" applyProtection="1">
      <alignment horizontal="center"/>
    </xf>
    <xf numFmtId="0" fontId="27" fillId="7" borderId="51" xfId="0" applyFont="1" applyFill="1" applyBorder="1" applyAlignment="1" applyProtection="1">
      <alignment horizontal="center"/>
    </xf>
    <xf numFmtId="0" fontId="26" fillId="10" borderId="131" xfId="0" applyFont="1" applyFill="1" applyBorder="1" applyAlignment="1" applyProtection="1">
      <alignment horizontal="center" vertical="center" wrapText="1"/>
    </xf>
    <xf numFmtId="0" fontId="26" fillId="10" borderId="81" xfId="0" applyFont="1" applyFill="1" applyBorder="1" applyAlignment="1" applyProtection="1">
      <alignment horizontal="center" vertical="center" wrapText="1"/>
    </xf>
    <xf numFmtId="0" fontId="26" fillId="10" borderId="5" xfId="0" applyFont="1" applyFill="1" applyBorder="1" applyAlignment="1" applyProtection="1">
      <alignment horizontal="center" vertical="center" wrapText="1"/>
    </xf>
    <xf numFmtId="5" fontId="26" fillId="7" borderId="80" xfId="0" applyNumberFormat="1" applyFont="1" applyFill="1" applyBorder="1" applyAlignment="1" applyProtection="1">
      <alignment horizontal="center" vertical="center" wrapText="1"/>
    </xf>
    <xf numFmtId="5" fontId="26" fillId="7" borderId="24" xfId="0" applyNumberFormat="1" applyFont="1" applyFill="1" applyBorder="1" applyAlignment="1" applyProtection="1">
      <alignment horizontal="center" vertical="center" wrapText="1"/>
    </xf>
    <xf numFmtId="5" fontId="26" fillId="13" borderId="26" xfId="0" applyNumberFormat="1" applyFont="1" applyFill="1" applyBorder="1" applyAlignment="1" applyProtection="1">
      <alignment horizontal="center" vertical="center" wrapText="1"/>
    </xf>
    <xf numFmtId="5" fontId="26" fillId="13" borderId="28" xfId="0" applyNumberFormat="1" applyFont="1" applyFill="1" applyBorder="1" applyAlignment="1" applyProtection="1">
      <alignment horizontal="center" vertical="center" wrapText="1"/>
    </xf>
    <xf numFmtId="5" fontId="15" fillId="5" borderId="15" xfId="0" applyNumberFormat="1" applyFont="1" applyFill="1" applyBorder="1" applyAlignment="1" applyProtection="1">
      <alignment horizontal="center" vertical="center" wrapText="1"/>
      <protection locked="0"/>
    </xf>
    <xf numFmtId="5" fontId="15" fillId="5" borderId="18" xfId="0" applyNumberFormat="1" applyFont="1" applyFill="1" applyBorder="1" applyAlignment="1" applyProtection="1">
      <alignment horizontal="center" vertical="center" wrapText="1"/>
      <protection locked="0"/>
    </xf>
    <xf numFmtId="5" fontId="15" fillId="5" borderId="78" xfId="0" applyNumberFormat="1" applyFont="1" applyFill="1" applyBorder="1" applyAlignment="1" applyProtection="1">
      <alignment horizontal="center" vertical="center" wrapText="1"/>
      <protection locked="0"/>
    </xf>
    <xf numFmtId="5" fontId="15" fillId="5" borderId="17" xfId="0" applyNumberFormat="1" applyFont="1" applyFill="1" applyBorder="1" applyAlignment="1" applyProtection="1">
      <alignment horizontal="center" vertical="center" wrapText="1"/>
      <protection locked="0"/>
    </xf>
    <xf numFmtId="5" fontId="15" fillId="5" borderId="85" xfId="0" applyNumberFormat="1" applyFont="1" applyFill="1" applyBorder="1" applyAlignment="1" applyProtection="1">
      <alignment horizontal="center" vertical="center" wrapText="1"/>
      <protection locked="0"/>
    </xf>
    <xf numFmtId="5" fontId="15" fillId="5" borderId="23" xfId="0" applyNumberFormat="1" applyFont="1" applyFill="1" applyBorder="1" applyAlignment="1" applyProtection="1">
      <alignment horizontal="center" vertical="center" wrapText="1"/>
      <protection locked="0"/>
    </xf>
    <xf numFmtId="0" fontId="16" fillId="0" borderId="77" xfId="0" applyFont="1" applyFill="1" applyBorder="1" applyProtection="1"/>
    <xf numFmtId="42" fontId="16" fillId="0" borderId="201" xfId="0" applyNumberFormat="1" applyFont="1" applyFill="1" applyBorder="1" applyAlignment="1" applyProtection="1">
      <alignment horizontal="center" vertical="center"/>
    </xf>
    <xf numFmtId="0" fontId="24" fillId="0" borderId="54" xfId="0" applyFont="1" applyBorder="1" applyAlignment="1" applyProtection="1">
      <alignment vertical="center"/>
      <protection locked="0"/>
    </xf>
    <xf numFmtId="0" fontId="24" fillId="0" borderId="52" xfId="0" applyFont="1" applyBorder="1" applyAlignment="1" applyProtection="1">
      <alignment vertical="center"/>
      <protection locked="0"/>
    </xf>
    <xf numFmtId="0" fontId="24" fillId="0" borderId="55" xfId="0" applyFont="1" applyBorder="1" applyAlignment="1" applyProtection="1">
      <alignment vertical="center"/>
      <protection locked="0"/>
    </xf>
    <xf numFmtId="44" fontId="22" fillId="0" borderId="396" xfId="0" applyNumberFormat="1" applyFont="1" applyFill="1" applyBorder="1" applyAlignment="1" applyProtection="1">
      <alignment vertical="center"/>
      <protection locked="0"/>
    </xf>
    <xf numFmtId="44" fontId="22" fillId="0" borderId="254" xfId="0" applyNumberFormat="1" applyFont="1" applyFill="1" applyBorder="1" applyAlignment="1" applyProtection="1">
      <alignment vertical="center"/>
      <protection locked="0"/>
    </xf>
    <xf numFmtId="44" fontId="22" fillId="0" borderId="422" xfId="0" applyNumberFormat="1" applyFont="1" applyFill="1" applyBorder="1" applyAlignment="1" applyProtection="1">
      <alignment vertical="center"/>
      <protection locked="0"/>
    </xf>
    <xf numFmtId="44" fontId="22" fillId="0" borderId="358" xfId="0" applyNumberFormat="1" applyFont="1" applyFill="1" applyBorder="1" applyAlignment="1" applyProtection="1">
      <alignment vertical="center"/>
      <protection locked="0"/>
    </xf>
    <xf numFmtId="44" fontId="22" fillId="0" borderId="417" xfId="0" applyNumberFormat="1" applyFont="1" applyFill="1" applyBorder="1" applyAlignment="1" applyProtection="1">
      <alignment vertical="center"/>
      <protection locked="0"/>
    </xf>
    <xf numFmtId="44" fontId="22" fillId="0" borderId="249" xfId="0" applyNumberFormat="1" applyFont="1" applyFill="1" applyBorder="1" applyAlignment="1" applyProtection="1">
      <alignment vertical="center"/>
      <protection locked="0"/>
    </xf>
    <xf numFmtId="0" fontId="16" fillId="0" borderId="77" xfId="0" applyFont="1" applyBorder="1" applyAlignment="1" applyProtection="1"/>
    <xf numFmtId="0" fontId="5" fillId="7" borderId="136" xfId="0" applyFont="1" applyFill="1" applyBorder="1" applyAlignment="1" applyProtection="1">
      <alignment horizontal="center"/>
    </xf>
    <xf numFmtId="0" fontId="5" fillId="7" borderId="224" xfId="0" applyFont="1" applyFill="1" applyBorder="1" applyAlignment="1" applyProtection="1">
      <alignment horizontal="center"/>
    </xf>
    <xf numFmtId="0" fontId="5" fillId="7" borderId="134" xfId="0" applyFont="1" applyFill="1" applyBorder="1" applyAlignment="1" applyProtection="1">
      <alignment horizontal="center"/>
    </xf>
    <xf numFmtId="5" fontId="8" fillId="16" borderId="58" xfId="0" applyNumberFormat="1" applyFont="1" applyFill="1" applyBorder="1" applyAlignment="1" applyProtection="1">
      <alignment horizontal="center" vertical="center" wrapText="1"/>
    </xf>
    <xf numFmtId="5" fontId="8" fillId="16" borderId="57" xfId="0" applyNumberFormat="1" applyFont="1" applyFill="1" applyBorder="1" applyAlignment="1" applyProtection="1">
      <alignment horizontal="center" vertical="center" wrapText="1"/>
    </xf>
    <xf numFmtId="168" fontId="24" fillId="0" borderId="54" xfId="0" applyNumberFormat="1" applyFont="1" applyBorder="1" applyAlignment="1" applyProtection="1">
      <alignment vertical="center"/>
    </xf>
    <xf numFmtId="168" fontId="24" fillId="0" borderId="52" xfId="0" applyNumberFormat="1" applyFont="1" applyBorder="1" applyAlignment="1" applyProtection="1">
      <alignment vertical="center"/>
    </xf>
    <xf numFmtId="168" fontId="24" fillId="0" borderId="55" xfId="0" applyNumberFormat="1" applyFont="1" applyBorder="1" applyAlignment="1" applyProtection="1">
      <alignment vertical="center"/>
    </xf>
    <xf numFmtId="0" fontId="27" fillId="7" borderId="129" xfId="0" applyFont="1" applyFill="1" applyBorder="1" applyAlignment="1" applyProtection="1">
      <alignment horizontal="center"/>
    </xf>
    <xf numFmtId="0" fontId="16" fillId="16" borderId="54" xfId="0" applyFont="1" applyFill="1" applyBorder="1" applyAlignment="1" applyProtection="1">
      <alignment horizontal="center"/>
    </xf>
    <xf numFmtId="0" fontId="16" fillId="16" borderId="49" xfId="0" applyFont="1" applyFill="1" applyBorder="1" applyAlignment="1" applyProtection="1">
      <alignment horizontal="center"/>
    </xf>
    <xf numFmtId="5" fontId="16" fillId="16" borderId="78" xfId="0" applyNumberFormat="1" applyFont="1" applyFill="1" applyBorder="1" applyAlignment="1" applyProtection="1">
      <alignment horizontal="center" vertical="center"/>
    </xf>
    <xf numFmtId="5" fontId="16" fillId="16" borderId="79" xfId="0" applyNumberFormat="1" applyFont="1" applyFill="1" applyBorder="1" applyAlignment="1" applyProtection="1">
      <alignment horizontal="center" vertical="center"/>
    </xf>
    <xf numFmtId="5" fontId="16" fillId="16" borderId="17" xfId="0" applyNumberFormat="1" applyFont="1" applyFill="1" applyBorder="1" applyAlignment="1" applyProtection="1">
      <alignment horizontal="center" vertical="center"/>
    </xf>
    <xf numFmtId="0" fontId="16" fillId="7" borderId="80" xfId="0" applyFont="1" applyFill="1" applyBorder="1" applyAlignment="1" applyProtection="1">
      <alignment horizontal="center" vertical="center" wrapText="1"/>
    </xf>
    <xf numFmtId="0" fontId="16" fillId="7" borderId="24" xfId="0" applyFont="1" applyFill="1" applyBorder="1" applyAlignment="1" applyProtection="1">
      <alignment horizontal="center" vertical="center" wrapText="1"/>
    </xf>
    <xf numFmtId="5" fontId="16" fillId="16" borderId="85" xfId="0" applyNumberFormat="1" applyFont="1" applyFill="1" applyBorder="1" applyAlignment="1" applyProtection="1">
      <alignment horizontal="center" vertical="center" wrapText="1"/>
    </xf>
    <xf numFmtId="5" fontId="16" fillId="16" borderId="86" xfId="0" applyNumberFormat="1" applyFont="1" applyFill="1" applyBorder="1" applyAlignment="1" applyProtection="1">
      <alignment horizontal="center" vertical="center" wrapText="1"/>
    </xf>
    <xf numFmtId="5" fontId="16" fillId="16" borderId="23" xfId="0" applyNumberFormat="1" applyFont="1" applyFill="1" applyBorder="1" applyAlignment="1" applyProtection="1">
      <alignment horizontal="center" vertical="center" wrapText="1"/>
    </xf>
    <xf numFmtId="0" fontId="38" fillId="16" borderId="0" xfId="0" applyFont="1" applyFill="1" applyBorder="1" applyAlignment="1" applyProtection="1"/>
    <xf numFmtId="0" fontId="53" fillId="0" borderId="0" xfId="0" applyFont="1" applyBorder="1" applyAlignment="1" applyProtection="1">
      <alignment vertical="center" wrapText="1"/>
    </xf>
    <xf numFmtId="0" fontId="53" fillId="0" borderId="3" xfId="0" applyFont="1" applyBorder="1" applyAlignment="1" applyProtection="1">
      <alignment vertical="center" wrapText="1"/>
    </xf>
    <xf numFmtId="0" fontId="38" fillId="16" borderId="163" xfId="0" applyFont="1" applyFill="1" applyBorder="1" applyProtection="1"/>
    <xf numFmtId="0" fontId="38" fillId="16" borderId="225" xfId="0" applyFont="1" applyFill="1" applyBorder="1" applyProtection="1"/>
    <xf numFmtId="0" fontId="51" fillId="16" borderId="163" xfId="0" applyFont="1" applyFill="1" applyBorder="1" applyProtection="1"/>
    <xf numFmtId="0" fontId="51" fillId="16" borderId="442" xfId="0" applyFont="1" applyFill="1" applyBorder="1" applyProtection="1"/>
    <xf numFmtId="0" fontId="51" fillId="0" borderId="77" xfId="0" applyFont="1" applyBorder="1" applyProtection="1"/>
    <xf numFmtId="0" fontId="24" fillId="0" borderId="0" xfId="0" applyFont="1" applyFill="1" applyBorder="1" applyAlignment="1" applyProtection="1">
      <alignment horizontal="right"/>
    </xf>
    <xf numFmtId="0" fontId="16" fillId="0" borderId="96" xfId="0" applyFont="1" applyBorder="1" applyAlignment="1" applyProtection="1">
      <alignment horizontal="center" vertical="top" wrapText="1"/>
    </xf>
    <xf numFmtId="0" fontId="16" fillId="0" borderId="0" xfId="0" applyFont="1" applyAlignment="1" applyProtection="1">
      <alignment horizontal="center" vertical="top" wrapText="1"/>
    </xf>
    <xf numFmtId="0" fontId="21" fillId="0" borderId="553" xfId="0" applyFont="1" applyFill="1" applyBorder="1" applyAlignment="1" applyProtection="1">
      <alignment horizontal="center"/>
    </xf>
    <xf numFmtId="0" fontId="21" fillId="0" borderId="99" xfId="0" applyFont="1" applyFill="1" applyBorder="1" applyAlignment="1" applyProtection="1">
      <alignment horizontal="center"/>
    </xf>
    <xf numFmtId="0" fontId="15" fillId="0" borderId="252" xfId="0" applyFont="1" applyFill="1" applyBorder="1" applyAlignment="1" applyProtection="1">
      <protection locked="0"/>
    </xf>
    <xf numFmtId="0" fontId="15" fillId="0" borderId="253" xfId="0" applyFont="1" applyFill="1" applyBorder="1" applyAlignment="1" applyProtection="1">
      <protection locked="0"/>
    </xf>
    <xf numFmtId="0" fontId="15" fillId="0" borderId="254" xfId="0" applyFont="1" applyFill="1" applyBorder="1" applyAlignment="1" applyProtection="1">
      <protection locked="0"/>
    </xf>
    <xf numFmtId="166" fontId="47" fillId="0" borderId="553" xfId="0" applyNumberFormat="1" applyFont="1" applyFill="1" applyBorder="1" applyAlignment="1" applyProtection="1">
      <alignment horizontal="center"/>
    </xf>
    <xf numFmtId="166" fontId="47" fillId="0" borderId="0" xfId="0" applyNumberFormat="1" applyFont="1" applyFill="1" applyBorder="1" applyAlignment="1" applyProtection="1">
      <alignment horizontal="center"/>
    </xf>
    <xf numFmtId="0" fontId="16" fillId="0" borderId="559" xfId="0" applyFont="1" applyFill="1" applyBorder="1" applyAlignment="1" applyProtection="1"/>
    <xf numFmtId="0" fontId="16" fillId="0" borderId="228" xfId="0" applyFont="1" applyFill="1" applyBorder="1" applyAlignment="1" applyProtection="1">
      <alignment horizontal="left"/>
    </xf>
    <xf numFmtId="0" fontId="16" fillId="0" borderId="77" xfId="0" applyFont="1" applyFill="1" applyBorder="1" applyAlignment="1" applyProtection="1">
      <alignment horizontal="left"/>
    </xf>
    <xf numFmtId="0" fontId="16" fillId="0" borderId="559" xfId="0" applyFont="1" applyFill="1" applyBorder="1" applyAlignment="1" applyProtection="1">
      <alignment horizontal="left"/>
    </xf>
    <xf numFmtId="0" fontId="19" fillId="16" borderId="148" xfId="0" applyFont="1" applyFill="1" applyBorder="1" applyAlignment="1" applyProtection="1">
      <alignment wrapText="1"/>
    </xf>
    <xf numFmtId="0" fontId="19" fillId="16" borderId="150" xfId="0" applyFont="1" applyFill="1" applyBorder="1" applyAlignment="1" applyProtection="1">
      <alignment wrapText="1"/>
    </xf>
    <xf numFmtId="0" fontId="19" fillId="16" borderId="149" xfId="0" applyFont="1" applyFill="1" applyBorder="1" applyAlignment="1" applyProtection="1">
      <alignment wrapText="1"/>
    </xf>
    <xf numFmtId="0" fontId="15" fillId="0" borderId="247" xfId="0" applyFont="1" applyFill="1" applyBorder="1" applyAlignment="1" applyProtection="1">
      <protection locked="0"/>
    </xf>
    <xf numFmtId="0" fontId="15" fillId="0" borderId="248" xfId="0" applyFont="1" applyFill="1" applyBorder="1" applyAlignment="1" applyProtection="1">
      <protection locked="0"/>
    </xf>
    <xf numFmtId="0" fontId="15" fillId="0" borderId="249" xfId="0" applyFont="1" applyFill="1" applyBorder="1" applyAlignment="1" applyProtection="1">
      <protection locked="0"/>
    </xf>
    <xf numFmtId="0" fontId="15" fillId="8" borderId="260" xfId="0" applyFont="1" applyFill="1" applyBorder="1" applyAlignment="1" applyProtection="1"/>
    <xf numFmtId="0" fontId="15" fillId="8" borderId="559" xfId="0" applyFont="1" applyFill="1" applyBorder="1" applyAlignment="1" applyProtection="1"/>
    <xf numFmtId="0" fontId="15" fillId="8" borderId="228" xfId="0" applyFont="1" applyFill="1" applyBorder="1" applyAlignment="1" applyProtection="1"/>
    <xf numFmtId="0" fontId="15" fillId="8" borderId="229" xfId="0" applyFont="1" applyFill="1" applyBorder="1" applyAlignment="1" applyProtection="1"/>
    <xf numFmtId="0" fontId="16" fillId="0" borderId="228" xfId="0" applyFont="1" applyBorder="1" applyAlignment="1" applyProtection="1">
      <alignment vertical="center"/>
    </xf>
    <xf numFmtId="0" fontId="50" fillId="0" borderId="33" xfId="0" applyFont="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50" fillId="0" borderId="0" xfId="0" applyFont="1" applyAlignment="1" applyProtection="1">
      <alignment horizontal="center" vertical="center" wrapText="1"/>
    </xf>
    <xf numFmtId="0" fontId="50" fillId="0" borderId="33" xfId="0" applyFont="1" applyBorder="1" applyAlignment="1" applyProtection="1">
      <alignment horizontal="center" vertical="top" wrapText="1"/>
    </xf>
    <xf numFmtId="0" fontId="50" fillId="0" borderId="0" xfId="0" applyFont="1" applyBorder="1" applyAlignment="1" applyProtection="1">
      <alignment horizontal="center" vertical="top" wrapText="1"/>
    </xf>
    <xf numFmtId="0" fontId="46" fillId="0" borderId="15" xfId="0" applyFont="1" applyBorder="1" applyAlignment="1" applyProtection="1">
      <alignment horizontal="left" vertical="top" wrapText="1"/>
      <protection locked="0"/>
    </xf>
    <xf numFmtId="0" fontId="46" fillId="0" borderId="19" xfId="0" applyFont="1" applyBorder="1" applyAlignment="1" applyProtection="1">
      <alignment horizontal="left" vertical="top" wrapText="1"/>
      <protection locked="0"/>
    </xf>
    <xf numFmtId="0" fontId="46" fillId="0" borderId="21" xfId="0" applyFont="1" applyBorder="1" applyAlignment="1" applyProtection="1">
      <alignment horizontal="left" vertical="top" wrapText="1"/>
      <protection locked="0"/>
    </xf>
    <xf numFmtId="0" fontId="46" fillId="0" borderId="25" xfId="0" applyFont="1" applyBorder="1" applyAlignment="1" applyProtection="1">
      <alignment horizontal="left" vertical="top" wrapText="1"/>
      <protection locked="0"/>
    </xf>
    <xf numFmtId="0" fontId="46" fillId="0" borderId="0" xfId="0" applyFont="1" applyBorder="1" applyAlignment="1" applyProtection="1">
      <alignment horizontal="left" vertical="top" wrapText="1"/>
      <protection locked="0"/>
    </xf>
    <xf numFmtId="0" fontId="46" fillId="0" borderId="26" xfId="0" applyFont="1" applyBorder="1" applyAlignment="1" applyProtection="1">
      <alignment horizontal="left" vertical="top" wrapText="1"/>
      <protection locked="0"/>
    </xf>
    <xf numFmtId="0" fontId="46" fillId="0" borderId="16" xfId="0" applyFont="1" applyBorder="1" applyAlignment="1" applyProtection="1">
      <alignment horizontal="left" vertical="top" wrapText="1"/>
      <protection locked="0"/>
    </xf>
    <xf numFmtId="0" fontId="46" fillId="0" borderId="6" xfId="0" applyFont="1" applyBorder="1" applyAlignment="1" applyProtection="1">
      <alignment horizontal="left" vertical="top" wrapText="1"/>
      <protection locked="0"/>
    </xf>
    <xf numFmtId="0" fontId="46" fillId="0" borderId="22" xfId="0" applyFont="1" applyBorder="1" applyAlignment="1" applyProtection="1">
      <alignment horizontal="left" vertical="top" wrapText="1"/>
      <protection locked="0"/>
    </xf>
    <xf numFmtId="0" fontId="64" fillId="16" borderId="163" xfId="0" applyFont="1" applyFill="1" applyBorder="1" applyProtection="1"/>
    <xf numFmtId="0" fontId="64" fillId="16" borderId="442" xfId="0" applyFont="1" applyFill="1" applyBorder="1" applyProtection="1"/>
    <xf numFmtId="0" fontId="64" fillId="16" borderId="228" xfId="0" applyFont="1" applyFill="1" applyBorder="1" applyProtection="1"/>
    <xf numFmtId="0" fontId="50" fillId="0" borderId="0" xfId="0" applyFont="1" applyFill="1" applyAlignment="1" applyProtection="1">
      <alignment horizontal="center" vertical="center" wrapText="1"/>
    </xf>
    <xf numFmtId="0" fontId="50" fillId="0" borderId="0" xfId="0" applyFont="1" applyFill="1" applyAlignment="1" applyProtection="1">
      <alignment horizontal="center" wrapText="1"/>
    </xf>
    <xf numFmtId="0" fontId="19" fillId="16" borderId="232" xfId="0" applyFont="1" applyFill="1" applyBorder="1" applyAlignment="1" applyProtection="1">
      <alignment horizontal="center" vertical="center" wrapText="1"/>
    </xf>
    <xf numFmtId="0" fontId="19" fillId="16" borderId="5" xfId="0" applyFont="1" applyFill="1" applyBorder="1" applyAlignment="1" applyProtection="1">
      <alignment horizontal="center" vertical="center" wrapText="1"/>
    </xf>
    <xf numFmtId="0" fontId="19" fillId="16" borderId="217" xfId="0" applyFont="1" applyFill="1" applyBorder="1" applyAlignment="1" applyProtection="1">
      <alignment horizontal="center" vertical="center"/>
    </xf>
    <xf numFmtId="0" fontId="19" fillId="16" borderId="12" xfId="0" applyFont="1" applyFill="1" applyBorder="1" applyAlignment="1" applyProtection="1">
      <alignment horizontal="center" vertical="center"/>
    </xf>
    <xf numFmtId="0" fontId="19" fillId="16" borderId="226" xfId="0" applyFont="1" applyFill="1" applyBorder="1" applyAlignment="1" applyProtection="1">
      <alignment horizontal="center" vertical="center" wrapText="1"/>
    </xf>
    <xf numFmtId="0" fontId="19" fillId="16" borderId="24" xfId="0" applyFont="1" applyFill="1" applyBorder="1" applyAlignment="1" applyProtection="1">
      <alignment horizontal="center" vertical="center" wrapText="1"/>
    </xf>
    <xf numFmtId="0" fontId="19" fillId="16" borderId="223" xfId="0" applyFont="1" applyFill="1" applyBorder="1" applyAlignment="1" applyProtection="1">
      <alignment horizontal="center" vertical="center" wrapText="1"/>
    </xf>
    <xf numFmtId="0" fontId="19" fillId="16" borderId="23" xfId="0" applyFont="1" applyFill="1" applyBorder="1" applyAlignment="1" applyProtection="1">
      <alignment horizontal="center" vertical="center" wrapText="1"/>
    </xf>
    <xf numFmtId="0" fontId="16" fillId="0" borderId="77" xfId="0" applyFont="1" applyFill="1" applyBorder="1" applyAlignment="1" applyProtection="1">
      <alignment vertical="center"/>
    </xf>
    <xf numFmtId="0" fontId="19" fillId="16" borderId="81" xfId="0" applyFont="1" applyFill="1" applyBorder="1" applyAlignment="1" applyProtection="1">
      <alignment horizontal="center" vertical="center" wrapText="1"/>
    </xf>
    <xf numFmtId="0" fontId="19" fillId="16" borderId="2" xfId="0" applyFont="1" applyFill="1" applyBorder="1" applyAlignment="1" applyProtection="1">
      <alignment horizontal="center" vertical="center"/>
    </xf>
    <xf numFmtId="0" fontId="15" fillId="0" borderId="250" xfId="0" applyFont="1" applyFill="1" applyBorder="1" applyProtection="1">
      <protection locked="0"/>
    </xf>
    <xf numFmtId="0" fontId="15" fillId="0" borderId="585" xfId="0" applyFont="1" applyFill="1" applyBorder="1" applyProtection="1">
      <protection locked="0"/>
    </xf>
    <xf numFmtId="3" fontId="14" fillId="0" borderId="198" xfId="0" applyNumberFormat="1" applyFont="1" applyFill="1" applyBorder="1" applyAlignment="1" applyProtection="1"/>
    <xf numFmtId="3" fontId="14" fillId="0" borderId="0" xfId="0" applyNumberFormat="1" applyFont="1" applyFill="1" applyBorder="1" applyAlignment="1" applyProtection="1">
      <alignment horizontal="left"/>
    </xf>
    <xf numFmtId="3" fontId="14" fillId="0" borderId="557" xfId="0" applyNumberFormat="1" applyFont="1" applyFill="1" applyBorder="1" applyAlignment="1" applyProtection="1">
      <alignment horizontal="left"/>
    </xf>
    <xf numFmtId="0" fontId="0" fillId="0" borderId="323" xfId="0" applyFont="1" applyFill="1" applyBorder="1" applyProtection="1">
      <protection locked="0"/>
    </xf>
    <xf numFmtId="0" fontId="0" fillId="0" borderId="324" xfId="0" applyFont="1" applyFill="1" applyBorder="1" applyProtection="1">
      <protection locked="0"/>
    </xf>
    <xf numFmtId="0" fontId="0" fillId="0" borderId="325" xfId="0" applyFont="1" applyFill="1" applyBorder="1" applyProtection="1">
      <protection locked="0"/>
    </xf>
    <xf numFmtId="0" fontId="15" fillId="0" borderId="217" xfId="0" applyFont="1" applyFill="1" applyBorder="1" applyAlignment="1" applyProtection="1">
      <alignment horizontal="left" vertical="top" wrapText="1"/>
      <protection locked="0"/>
    </xf>
    <xf numFmtId="0" fontId="15" fillId="0" borderId="201" xfId="0" applyFont="1" applyFill="1" applyBorder="1" applyAlignment="1" applyProtection="1">
      <alignment horizontal="left" vertical="top" wrapText="1"/>
      <protection locked="0"/>
    </xf>
    <xf numFmtId="0" fontId="15" fillId="0" borderId="220"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15" fillId="0" borderId="77" xfId="0" applyFont="1" applyFill="1" applyBorder="1" applyAlignment="1" applyProtection="1">
      <alignment horizontal="left" vertical="top" wrapText="1"/>
      <protection locked="0"/>
    </xf>
    <xf numFmtId="0" fontId="15" fillId="0" borderId="559" xfId="0" applyFont="1" applyFill="1" applyBorder="1" applyAlignment="1" applyProtection="1">
      <alignment horizontal="left" vertical="top" wrapText="1"/>
      <protection locked="0"/>
    </xf>
    <xf numFmtId="0" fontId="15" fillId="0" borderId="229" xfId="0" applyFont="1" applyFill="1" applyBorder="1" applyAlignment="1" applyProtection="1">
      <alignment horizontal="left" vertical="top" wrapText="1"/>
      <protection locked="0"/>
    </xf>
    <xf numFmtId="0" fontId="0" fillId="0" borderId="320" xfId="0" applyFont="1" applyFill="1" applyBorder="1" applyProtection="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96" xfId="0" applyFont="1" applyFill="1" applyBorder="1" applyProtection="1">
      <protection locked="0"/>
    </xf>
    <xf numFmtId="0" fontId="0" fillId="0" borderId="253" xfId="0" applyFont="1" applyFill="1" applyBorder="1" applyProtection="1">
      <protection locked="0"/>
    </xf>
    <xf numFmtId="0" fontId="0" fillId="0" borderId="395" xfId="0" applyFont="1" applyFill="1" applyBorder="1" applyProtection="1">
      <protection locked="0"/>
    </xf>
    <xf numFmtId="0" fontId="16" fillId="0" borderId="201" xfId="0" applyFont="1" applyFill="1" applyBorder="1" applyAlignment="1" applyProtection="1">
      <alignment horizontal="center" vertical="center" wrapText="1"/>
    </xf>
    <xf numFmtId="0" fontId="16" fillId="0" borderId="0" xfId="0" applyFont="1" applyFill="1" applyAlignment="1" applyProtection="1">
      <alignment horizontal="center" vertical="center" wrapText="1"/>
    </xf>
    <xf numFmtId="3" fontId="17" fillId="0" borderId="163" xfId="0" applyNumberFormat="1" applyFont="1" applyFill="1" applyBorder="1" applyAlignment="1" applyProtection="1"/>
    <xf numFmtId="3" fontId="17" fillId="0" borderId="442" xfId="0" applyNumberFormat="1" applyFont="1" applyFill="1" applyBorder="1" applyAlignment="1" applyProtection="1"/>
    <xf numFmtId="3" fontId="17" fillId="0" borderId="592" xfId="0" applyNumberFormat="1" applyFont="1" applyFill="1" applyBorder="1" applyAlignment="1" applyProtection="1"/>
    <xf numFmtId="166" fontId="16" fillId="0" borderId="0" xfId="0" applyNumberFormat="1" applyFont="1" applyFill="1" applyBorder="1" applyAlignment="1" applyProtection="1">
      <alignment horizontal="center" wrapText="1"/>
    </xf>
    <xf numFmtId="0" fontId="17" fillId="16" borderId="163" xfId="0" applyFont="1" applyFill="1" applyBorder="1" applyAlignment="1" applyProtection="1">
      <alignment horizontal="center"/>
    </xf>
    <xf numFmtId="0" fontId="17" fillId="16" borderId="442" xfId="0" applyFont="1" applyFill="1" applyBorder="1" applyAlignment="1" applyProtection="1">
      <alignment horizontal="center"/>
    </xf>
    <xf numFmtId="0" fontId="17" fillId="16" borderId="145" xfId="0" applyFont="1" applyFill="1" applyBorder="1" applyAlignment="1" applyProtection="1">
      <alignment horizontal="center"/>
    </xf>
    <xf numFmtId="0" fontId="17" fillId="16" borderId="146" xfId="0" applyFont="1" applyFill="1" applyBorder="1" applyAlignment="1" applyProtection="1">
      <alignment horizontal="center"/>
    </xf>
    <xf numFmtId="166" fontId="17" fillId="16" borderId="163" xfId="0" applyNumberFormat="1" applyFont="1" applyFill="1" applyBorder="1" applyAlignment="1" applyProtection="1">
      <alignment horizontal="center"/>
    </xf>
    <xf numFmtId="166" fontId="17" fillId="16" borderId="225" xfId="0" applyNumberFormat="1" applyFont="1" applyFill="1" applyBorder="1" applyAlignment="1" applyProtection="1">
      <alignment horizontal="center"/>
    </xf>
    <xf numFmtId="166" fontId="17" fillId="16" borderId="442" xfId="0" applyNumberFormat="1" applyFont="1" applyFill="1" applyBorder="1" applyAlignment="1" applyProtection="1">
      <alignment horizontal="center"/>
    </xf>
    <xf numFmtId="166" fontId="17" fillId="16" borderId="216" xfId="0" applyNumberFormat="1" applyFont="1" applyFill="1" applyBorder="1" applyAlignment="1" applyProtection="1">
      <alignment horizontal="center"/>
    </xf>
    <xf numFmtId="3" fontId="17" fillId="0" borderId="73" xfId="0" applyNumberFormat="1" applyFont="1" applyFill="1" applyBorder="1" applyProtection="1"/>
    <xf numFmtId="3" fontId="17" fillId="0" borderId="58" xfId="0" applyNumberFormat="1" applyFont="1" applyFill="1" applyBorder="1" applyProtection="1"/>
    <xf numFmtId="166" fontId="14" fillId="0" borderId="66" xfId="0" applyNumberFormat="1" applyFont="1" applyFill="1" applyBorder="1" applyAlignment="1" applyProtection="1">
      <alignment horizontal="center"/>
    </xf>
    <xf numFmtId="166" fontId="14" fillId="0" borderId="554" xfId="0" applyNumberFormat="1" applyFont="1" applyFill="1" applyBorder="1" applyAlignment="1" applyProtection="1">
      <alignment horizontal="center"/>
    </xf>
    <xf numFmtId="0" fontId="16" fillId="0" borderId="0" xfId="0" applyFont="1" applyFill="1" applyAlignment="1" applyProtection="1">
      <alignment horizontal="center"/>
    </xf>
    <xf numFmtId="3" fontId="17" fillId="0" borderId="0" xfId="0" applyNumberFormat="1" applyFont="1" applyFill="1" applyBorder="1" applyAlignment="1" applyProtection="1">
      <alignment horizontal="center" wrapText="1"/>
    </xf>
    <xf numFmtId="3" fontId="17" fillId="16" borderId="163" xfId="0" applyNumberFormat="1" applyFont="1" applyFill="1" applyBorder="1" applyAlignment="1" applyProtection="1">
      <alignment horizontal="center" vertical="center"/>
    </xf>
    <xf numFmtId="3" fontId="17" fillId="16" borderId="442" xfId="0" applyNumberFormat="1" applyFont="1" applyFill="1" applyBorder="1" applyAlignment="1" applyProtection="1">
      <alignment horizontal="center" vertical="center"/>
    </xf>
    <xf numFmtId="3" fontId="17" fillId="16" borderId="443" xfId="0" applyNumberFormat="1" applyFont="1" applyFill="1" applyBorder="1" applyAlignment="1" applyProtection="1">
      <alignment horizontal="center" vertical="center"/>
    </xf>
    <xf numFmtId="0" fontId="16" fillId="0" borderId="228" xfId="0" applyFont="1" applyFill="1" applyBorder="1" applyAlignment="1" applyProtection="1">
      <alignment vertical="center"/>
    </xf>
    <xf numFmtId="0" fontId="16" fillId="0" borderId="559" xfId="0" applyFont="1" applyFill="1" applyBorder="1" applyAlignment="1" applyProtection="1">
      <alignment vertical="center"/>
    </xf>
    <xf numFmtId="3" fontId="17" fillId="0" borderId="12" xfId="0" applyNumberFormat="1" applyFont="1" applyFill="1" applyBorder="1" applyProtection="1"/>
    <xf numFmtId="3" fontId="17" fillId="0" borderId="13" xfId="0" applyNumberFormat="1" applyFont="1" applyFill="1" applyBorder="1" applyProtection="1"/>
    <xf numFmtId="0" fontId="17" fillId="16" borderId="443" xfId="0" applyFont="1" applyFill="1" applyBorder="1" applyAlignment="1" applyProtection="1">
      <alignment horizontal="center"/>
    </xf>
    <xf numFmtId="166" fontId="16" fillId="0" borderId="201" xfId="0" applyNumberFormat="1" applyFont="1" applyFill="1" applyBorder="1" applyAlignment="1" applyProtection="1">
      <alignment horizontal="center" wrapText="1"/>
    </xf>
    <xf numFmtId="166" fontId="50" fillId="0" borderId="201" xfId="0" applyNumberFormat="1" applyFont="1" applyFill="1" applyBorder="1" applyAlignment="1" applyProtection="1">
      <alignment horizontal="center" vertical="top" wrapText="1"/>
    </xf>
    <xf numFmtId="0" fontId="15" fillId="16" borderId="163" xfId="0" applyFont="1" applyFill="1" applyBorder="1" applyAlignment="1" applyProtection="1">
      <alignment wrapText="1"/>
    </xf>
    <xf numFmtId="0" fontId="15" fillId="16" borderId="449" xfId="0" applyFont="1" applyFill="1" applyBorder="1" applyAlignment="1" applyProtection="1">
      <alignment wrapText="1"/>
    </xf>
    <xf numFmtId="0" fontId="15" fillId="0" borderId="245" xfId="0" applyFont="1" applyFill="1" applyBorder="1" applyAlignment="1" applyProtection="1">
      <alignment wrapText="1"/>
      <protection locked="0"/>
    </xf>
    <xf numFmtId="0" fontId="15" fillId="0" borderId="584" xfId="0" applyFont="1" applyFill="1" applyBorder="1" applyAlignment="1" applyProtection="1">
      <alignment wrapText="1"/>
      <protection locked="0"/>
    </xf>
    <xf numFmtId="0" fontId="15" fillId="0" borderId="415" xfId="0" applyFont="1" applyFill="1" applyBorder="1" applyProtection="1">
      <protection locked="0"/>
    </xf>
    <xf numFmtId="0" fontId="15" fillId="0" borderId="432" xfId="0" applyFont="1" applyFill="1" applyBorder="1" applyProtection="1">
      <protection locked="0"/>
    </xf>
    <xf numFmtId="44" fontId="40" fillId="0" borderId="357" xfId="0" applyNumberFormat="1" applyFont="1" applyFill="1" applyBorder="1" applyAlignment="1" applyProtection="1">
      <alignment horizontal="right" vertical="center"/>
      <protection locked="0"/>
    </xf>
    <xf numFmtId="44" fontId="40" fillId="0" borderId="358" xfId="0" applyNumberFormat="1" applyFont="1" applyFill="1" applyBorder="1" applyAlignment="1" applyProtection="1">
      <alignment horizontal="right" vertical="center"/>
      <protection locked="0"/>
    </xf>
    <xf numFmtId="0" fontId="42" fillId="16" borderId="163" xfId="0" applyFont="1" applyFill="1" applyBorder="1" applyAlignment="1" applyProtection="1">
      <alignment horizontal="center" vertical="center"/>
    </xf>
    <xf numFmtId="0" fontId="42" fillId="16" borderId="216" xfId="0" applyFont="1" applyFill="1" applyBorder="1" applyAlignment="1" applyProtection="1">
      <alignment horizontal="center" vertical="center"/>
    </xf>
    <xf numFmtId="49" fontId="40" fillId="0" borderId="354" xfId="0" applyNumberFormat="1" applyFont="1" applyFill="1" applyBorder="1" applyAlignment="1" applyProtection="1">
      <alignment horizontal="left" vertical="center"/>
      <protection locked="0"/>
    </xf>
    <xf numFmtId="49" fontId="40" fillId="0" borderId="355" xfId="0" applyNumberFormat="1" applyFont="1" applyFill="1" applyBorder="1" applyAlignment="1" applyProtection="1">
      <alignment horizontal="left" vertical="center"/>
      <protection locked="0"/>
    </xf>
    <xf numFmtId="49" fontId="40" fillId="0" borderId="356" xfId="0" applyNumberFormat="1" applyFont="1" applyFill="1" applyBorder="1" applyAlignment="1" applyProtection="1">
      <alignment horizontal="left" vertical="center"/>
      <protection locked="0"/>
    </xf>
    <xf numFmtId="0" fontId="37" fillId="0" borderId="0" xfId="0" applyFont="1" applyFill="1" applyBorder="1" applyAlignment="1" applyProtection="1">
      <alignment horizontal="right" vertical="center"/>
    </xf>
    <xf numFmtId="0" fontId="37" fillId="0" borderId="3" xfId="0" applyFont="1" applyFill="1" applyBorder="1" applyAlignment="1" applyProtection="1">
      <alignment horizontal="right" vertical="center"/>
    </xf>
    <xf numFmtId="0" fontId="37" fillId="22" borderId="0" xfId="0" applyFont="1" applyFill="1" applyBorder="1" applyAlignment="1" applyProtection="1">
      <alignment vertical="center"/>
    </xf>
    <xf numFmtId="44" fontId="40" fillId="0" borderId="346" xfId="0" applyNumberFormat="1" applyFont="1" applyFill="1" applyBorder="1" applyAlignment="1" applyProtection="1">
      <alignment horizontal="right" vertical="center"/>
      <protection locked="0"/>
    </xf>
    <xf numFmtId="44" fontId="40" fillId="0" borderId="249" xfId="0" applyNumberFormat="1" applyFont="1" applyFill="1" applyBorder="1" applyAlignment="1" applyProtection="1">
      <alignment horizontal="right" vertical="center"/>
      <protection locked="0"/>
    </xf>
    <xf numFmtId="44" fontId="40" fillId="0" borderId="351" xfId="0" applyNumberFormat="1" applyFont="1" applyFill="1" applyBorder="1" applyAlignment="1" applyProtection="1">
      <alignment horizontal="right" vertical="center"/>
      <protection locked="0"/>
    </xf>
    <xf numFmtId="44" fontId="40" fillId="0" borderId="254" xfId="0" applyNumberFormat="1" applyFont="1" applyFill="1" applyBorder="1" applyAlignment="1" applyProtection="1">
      <alignment horizontal="right" vertical="center"/>
      <protection locked="0"/>
    </xf>
    <xf numFmtId="49" fontId="40" fillId="0" borderId="245" xfId="0" applyNumberFormat="1" applyFont="1" applyFill="1" applyBorder="1" applyAlignment="1" applyProtection="1">
      <alignment horizontal="left" vertical="center"/>
      <protection locked="0"/>
    </xf>
    <xf numFmtId="49" fontId="40" fillId="0" borderId="248" xfId="0" applyNumberFormat="1" applyFont="1" applyFill="1" applyBorder="1" applyAlignment="1" applyProtection="1">
      <alignment horizontal="left" vertical="center"/>
      <protection locked="0"/>
    </xf>
    <xf numFmtId="49" fontId="40" fillId="0" borderId="345" xfId="0" applyNumberFormat="1" applyFont="1" applyFill="1" applyBorder="1" applyAlignment="1" applyProtection="1">
      <alignment horizontal="left" vertical="center"/>
      <protection locked="0"/>
    </xf>
    <xf numFmtId="49" fontId="40" fillId="0" borderId="250" xfId="0" applyNumberFormat="1" applyFont="1" applyFill="1" applyBorder="1" applyAlignment="1" applyProtection="1">
      <alignment vertical="center"/>
      <protection locked="0"/>
    </xf>
    <xf numFmtId="49" fontId="40" fillId="0" borderId="253" xfId="0" applyNumberFormat="1" applyFont="1" applyFill="1" applyBorder="1" applyAlignment="1" applyProtection="1">
      <alignment vertical="center"/>
      <protection locked="0"/>
    </xf>
    <xf numFmtId="49" fontId="40" fillId="0" borderId="350" xfId="0" applyNumberFormat="1" applyFont="1" applyFill="1" applyBorder="1" applyAlignment="1" applyProtection="1">
      <alignment vertical="center"/>
      <protection locked="0"/>
    </xf>
    <xf numFmtId="0" fontId="40" fillId="0" borderId="321" xfId="0" applyFont="1" applyFill="1" applyBorder="1" applyAlignment="1" applyProtection="1">
      <alignment vertical="center"/>
      <protection locked="0"/>
    </xf>
    <xf numFmtId="0" fontId="40" fillId="0" borderId="577" xfId="0" applyFont="1" applyFill="1" applyBorder="1" applyAlignment="1" applyProtection="1">
      <alignment vertical="center"/>
      <protection locked="0"/>
    </xf>
    <xf numFmtId="0" fontId="40" fillId="0" borderId="324" xfId="0" applyFont="1" applyFill="1" applyBorder="1" applyAlignment="1" applyProtection="1">
      <alignment vertical="center"/>
      <protection locked="0"/>
    </xf>
    <xf numFmtId="0" fontId="40" fillId="0" borderId="578" xfId="0" applyFont="1" applyFill="1" applyBorder="1" applyAlignment="1" applyProtection="1">
      <alignment vertical="center"/>
      <protection locked="0"/>
    </xf>
    <xf numFmtId="0" fontId="40" fillId="0" borderId="589" xfId="0" applyFont="1" applyFill="1" applyBorder="1" applyAlignment="1" applyProtection="1">
      <alignment horizontal="left" vertical="center" indent="1"/>
    </xf>
    <xf numFmtId="0" fontId="40" fillId="0" borderId="588" xfId="0" applyFont="1" applyFill="1" applyBorder="1" applyAlignment="1" applyProtection="1">
      <alignment horizontal="left" vertical="center" indent="1"/>
    </xf>
    <xf numFmtId="0" fontId="40" fillId="0" borderId="591" xfId="0" applyFont="1" applyFill="1" applyBorder="1" applyAlignment="1" applyProtection="1">
      <alignment horizontal="left" vertical="center" indent="1"/>
    </xf>
    <xf numFmtId="0" fontId="40" fillId="0" borderId="590" xfId="0" applyFont="1" applyFill="1" applyBorder="1" applyAlignment="1" applyProtection="1">
      <alignment horizontal="left" vertical="center" indent="1"/>
    </xf>
    <xf numFmtId="0" fontId="0" fillId="0" borderId="217" xfId="0" applyBorder="1" applyAlignment="1" applyProtection="1">
      <alignment horizontal="left" vertical="top" wrapText="1"/>
      <protection locked="0"/>
    </xf>
    <xf numFmtId="0" fontId="0" fillId="0" borderId="219"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8" xfId="0" applyBorder="1" applyAlignment="1" applyProtection="1">
      <alignment horizontal="left" vertical="top" wrapText="1"/>
      <protection locked="0"/>
    </xf>
    <xf numFmtId="0" fontId="0" fillId="0" borderId="229" xfId="0" applyBorder="1" applyAlignment="1" applyProtection="1">
      <alignment horizontal="left" vertical="top" wrapText="1"/>
      <protection locked="0"/>
    </xf>
    <xf numFmtId="49" fontId="40" fillId="0" borderId="250" xfId="0" applyNumberFormat="1" applyFont="1" applyFill="1" applyBorder="1" applyAlignment="1" applyProtection="1">
      <alignment horizontal="left" vertical="center"/>
      <protection locked="0"/>
    </xf>
    <xf numFmtId="49" fontId="40" fillId="0" borderId="253" xfId="0" applyNumberFormat="1" applyFont="1" applyFill="1" applyBorder="1" applyAlignment="1" applyProtection="1">
      <alignment horizontal="left" vertical="center"/>
      <protection locked="0"/>
    </xf>
    <xf numFmtId="49" fontId="40" fillId="0" borderId="350" xfId="0" applyNumberFormat="1" applyFont="1" applyFill="1" applyBorder="1" applyAlignment="1" applyProtection="1">
      <alignment horizontal="left" vertical="center"/>
      <protection locked="0"/>
    </xf>
    <xf numFmtId="0" fontId="37" fillId="0" borderId="0" xfId="0" applyFont="1" applyFill="1" applyBorder="1" applyAlignment="1" applyProtection="1">
      <alignment horizontal="left" wrapText="1"/>
    </xf>
    <xf numFmtId="0" fontId="40" fillId="0" borderId="199" xfId="0" applyFont="1" applyFill="1" applyBorder="1" applyAlignment="1" applyProtection="1">
      <alignment horizontal="left" vertical="center"/>
      <protection locked="0"/>
    </xf>
    <xf numFmtId="0" fontId="40" fillId="0" borderId="637"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wrapText="1"/>
    </xf>
    <xf numFmtId="0" fontId="40" fillId="0" borderId="3" xfId="0" applyFont="1" applyFill="1" applyBorder="1" applyAlignment="1" applyProtection="1">
      <alignment horizontal="left" vertical="center" wrapText="1"/>
    </xf>
    <xf numFmtId="0" fontId="15" fillId="0" borderId="258" xfId="0" applyFont="1" applyFill="1" applyBorder="1" applyAlignment="1" applyProtection="1">
      <alignment horizontal="left" vertical="top" wrapText="1"/>
      <protection locked="0"/>
    </xf>
    <xf numFmtId="0" fontId="15" fillId="0" borderId="378" xfId="0" applyFont="1" applyFill="1" applyBorder="1" applyAlignment="1" applyProtection="1">
      <alignment horizontal="left" vertical="top" wrapText="1"/>
      <protection locked="0"/>
    </xf>
    <xf numFmtId="0" fontId="15" fillId="0" borderId="217" xfId="0" applyFont="1" applyBorder="1" applyAlignment="1" applyProtection="1">
      <alignment vertical="top" wrapText="1"/>
      <protection locked="0"/>
    </xf>
    <xf numFmtId="0" fontId="15" fillId="0" borderId="219" xfId="0" applyFont="1" applyBorder="1" applyAlignment="1" applyProtection="1">
      <alignment vertical="top" wrapText="1"/>
      <protection locked="0"/>
    </xf>
    <xf numFmtId="0" fontId="15" fillId="0" borderId="220"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3" xfId="0" applyFont="1" applyBorder="1" applyAlignment="1" applyProtection="1">
      <alignment vertical="top" wrapText="1"/>
      <protection locked="0"/>
    </xf>
    <xf numFmtId="0" fontId="15" fillId="0" borderId="12" xfId="0" applyFont="1" applyBorder="1" applyAlignment="1" applyProtection="1">
      <alignment vertical="top" wrapText="1"/>
      <protection locked="0"/>
    </xf>
    <xf numFmtId="0" fontId="15" fillId="0" borderId="228" xfId="0" applyFont="1" applyBorder="1" applyAlignment="1" applyProtection="1">
      <alignment vertical="top" wrapText="1"/>
      <protection locked="0"/>
    </xf>
    <xf numFmtId="0" fontId="15" fillId="0" borderId="229" xfId="0" applyFont="1" applyBorder="1" applyAlignment="1" applyProtection="1">
      <alignment vertical="top" wrapText="1"/>
      <protection locked="0"/>
    </xf>
    <xf numFmtId="0" fontId="15" fillId="0" borderId="58" xfId="0" applyFont="1" applyFill="1" applyBorder="1" applyAlignment="1" applyProtection="1">
      <alignment horizontal="left"/>
      <protection locked="0"/>
    </xf>
    <xf numFmtId="0" fontId="15" fillId="0" borderId="57" xfId="0" applyFont="1" applyFill="1" applyBorder="1" applyAlignment="1" applyProtection="1">
      <alignment horizontal="left"/>
      <protection locked="0"/>
    </xf>
    <xf numFmtId="0" fontId="65" fillId="0" borderId="217" xfId="0" applyFont="1" applyFill="1" applyBorder="1" applyProtection="1"/>
    <xf numFmtId="0" fontId="65" fillId="0" borderId="201" xfId="0" applyFont="1" applyFill="1" applyBorder="1" applyProtection="1"/>
    <xf numFmtId="0" fontId="65" fillId="0" borderId="220" xfId="0" applyFont="1" applyFill="1" applyBorder="1" applyProtection="1"/>
    <xf numFmtId="0" fontId="14" fillId="0" borderId="6" xfId="0" applyFont="1" applyFill="1" applyBorder="1" applyAlignment="1" applyProtection="1">
      <protection locked="0"/>
    </xf>
    <xf numFmtId="0" fontId="14" fillId="0" borderId="29" xfId="0" applyFont="1" applyFill="1" applyBorder="1" applyAlignment="1" applyProtection="1">
      <protection locked="0"/>
    </xf>
    <xf numFmtId="0" fontId="15" fillId="0" borderId="234" xfId="0" applyFont="1" applyFill="1" applyBorder="1" applyAlignment="1" applyProtection="1">
      <protection locked="0"/>
    </xf>
    <xf numFmtId="0" fontId="15" fillId="0" borderId="235" xfId="0" applyFont="1" applyFill="1" applyBorder="1" applyAlignment="1" applyProtection="1">
      <protection locked="0"/>
    </xf>
    <xf numFmtId="0" fontId="15" fillId="0" borderId="6" xfId="0" applyFont="1" applyFill="1" applyBorder="1" applyAlignment="1" applyProtection="1">
      <protection locked="0"/>
    </xf>
    <xf numFmtId="0" fontId="15" fillId="0" borderId="29" xfId="0" applyFont="1" applyFill="1" applyBorder="1" applyAlignment="1" applyProtection="1">
      <protection locked="0"/>
    </xf>
    <xf numFmtId="0" fontId="15" fillId="0" borderId="52" xfId="0" applyFont="1" applyFill="1" applyBorder="1" applyAlignment="1" applyProtection="1">
      <protection locked="0"/>
    </xf>
    <xf numFmtId="0" fontId="15" fillId="0" borderId="49" xfId="0" applyFont="1" applyFill="1" applyBorder="1" applyAlignment="1" applyProtection="1">
      <protection locked="0"/>
    </xf>
    <xf numFmtId="0" fontId="65" fillId="0" borderId="154" xfId="0" applyFont="1" applyFill="1" applyBorder="1" applyProtection="1"/>
    <xf numFmtId="0" fontId="65" fillId="0" borderId="155" xfId="0" applyFont="1" applyFill="1" applyBorder="1" applyProtection="1"/>
    <xf numFmtId="0" fontId="65" fillId="0" borderId="156" xfId="0" applyFont="1" applyFill="1" applyBorder="1" applyProtection="1"/>
    <xf numFmtId="0" fontId="15" fillId="0" borderId="52" xfId="0" applyFont="1" applyFill="1" applyBorder="1" applyAlignment="1" applyProtection="1">
      <alignment horizontal="left"/>
      <protection locked="0"/>
    </xf>
    <xf numFmtId="0" fontId="15" fillId="0" borderId="49" xfId="0" applyFont="1" applyFill="1" applyBorder="1" applyAlignment="1" applyProtection="1">
      <alignment horizontal="left"/>
      <protection locked="0"/>
    </xf>
    <xf numFmtId="0" fontId="14" fillId="6" borderId="6" xfId="0" applyFont="1" applyFill="1" applyBorder="1" applyAlignment="1" applyProtection="1"/>
    <xf numFmtId="0" fontId="15" fillId="0" borderId="29" xfId="0" applyFont="1" applyFill="1" applyBorder="1" applyProtection="1">
      <protection locked="0"/>
    </xf>
    <xf numFmtId="0" fontId="15" fillId="6" borderId="234" xfId="0" applyFont="1" applyFill="1" applyBorder="1" applyAlignment="1" applyProtection="1"/>
    <xf numFmtId="0" fontId="15" fillId="6" borderId="235" xfId="0" applyFont="1" applyFill="1" applyBorder="1" applyAlignment="1" applyProtection="1"/>
    <xf numFmtId="0" fontId="15" fillId="6" borderId="6" xfId="0" applyFont="1" applyFill="1" applyBorder="1" applyAlignment="1" applyProtection="1"/>
    <xf numFmtId="0" fontId="15" fillId="6" borderId="29" xfId="0" applyFont="1" applyFill="1" applyBorder="1" applyAlignment="1" applyProtection="1"/>
    <xf numFmtId="0" fontId="15" fillId="6" borderId="234" xfId="0" applyFont="1" applyFill="1" applyBorder="1" applyProtection="1"/>
    <xf numFmtId="0" fontId="2" fillId="0" borderId="77" xfId="0" applyFont="1" applyFill="1" applyBorder="1" applyProtection="1"/>
    <xf numFmtId="0" fontId="14" fillId="6" borderId="29" xfId="0" applyFont="1" applyFill="1" applyBorder="1" applyAlignment="1" applyProtection="1"/>
    <xf numFmtId="0" fontId="20" fillId="0" borderId="31" xfId="0" applyFont="1" applyFill="1" applyBorder="1" applyAlignment="1" applyProtection="1">
      <alignment horizontal="center" wrapText="1"/>
    </xf>
    <xf numFmtId="0" fontId="20" fillId="0" borderId="31" xfId="0" applyFont="1" applyFill="1" applyBorder="1" applyAlignment="1" applyProtection="1">
      <alignment horizontal="center"/>
    </xf>
    <xf numFmtId="0" fontId="15" fillId="0" borderId="19" xfId="0" applyFont="1" applyFill="1" applyBorder="1" applyAlignment="1" applyProtection="1">
      <alignment horizontal="left" textRotation="90" wrapText="1"/>
    </xf>
    <xf numFmtId="0" fontId="15" fillId="0" borderId="184" xfId="0" applyFont="1" applyFill="1" applyBorder="1" applyAlignment="1" applyProtection="1">
      <alignment horizontal="left" textRotation="90" wrapText="1"/>
    </xf>
    <xf numFmtId="0" fontId="15" fillId="0" borderId="0" xfId="0" applyFont="1" applyFill="1" applyBorder="1" applyAlignment="1" applyProtection="1">
      <alignment horizontal="left" textRotation="90" wrapText="1"/>
    </xf>
    <xf numFmtId="0" fontId="15"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5" fillId="20" borderId="54" xfId="0" applyFont="1" applyFill="1" applyBorder="1" applyAlignment="1" applyProtection="1">
      <alignment horizontal="left" vertical="top" wrapText="1"/>
    </xf>
    <xf numFmtId="0" fontId="15" fillId="20" borderId="55" xfId="0" applyFont="1" applyFill="1" applyBorder="1" applyAlignment="1" applyProtection="1">
      <alignment horizontal="left" vertical="top" wrapText="1"/>
    </xf>
    <xf numFmtId="0" fontId="15" fillId="5" borderId="54" xfId="0" applyFont="1" applyFill="1" applyBorder="1" applyAlignment="1" applyProtection="1">
      <alignment horizontal="left" vertical="top" wrapText="1"/>
      <protection locked="0"/>
    </xf>
    <xf numFmtId="0" fontId="15" fillId="5" borderId="234" xfId="0" applyFont="1" applyFill="1" applyBorder="1" applyAlignment="1" applyProtection="1">
      <alignment horizontal="left" vertical="top" wrapText="1"/>
      <protection locked="0"/>
    </xf>
    <xf numFmtId="0" fontId="15" fillId="5" borderId="55" xfId="0" applyFont="1" applyFill="1" applyBorder="1" applyAlignment="1" applyProtection="1">
      <alignment horizontal="left" vertical="top" wrapText="1"/>
      <protection locked="0"/>
    </xf>
    <xf numFmtId="0" fontId="19" fillId="0" borderId="77" xfId="0" applyFont="1" applyFill="1" applyBorder="1" applyAlignment="1" applyProtection="1"/>
    <xf numFmtId="0" fontId="43" fillId="6" borderId="52" xfId="0" applyFont="1" applyFill="1" applyBorder="1" applyAlignment="1" applyProtection="1">
      <alignment horizontal="left" vertical="center" wrapText="1"/>
    </xf>
    <xf numFmtId="0" fontId="43" fillId="6" borderId="55" xfId="0" applyFont="1" applyFill="1" applyBorder="1" applyAlignment="1" applyProtection="1">
      <alignment horizontal="left" vertical="center" wrapText="1"/>
    </xf>
    <xf numFmtId="42" fontId="70" fillId="6" borderId="635" xfId="4" applyNumberFormat="1" applyFont="1" applyFill="1" applyBorder="1" applyAlignment="1">
      <alignment horizontal="center"/>
    </xf>
    <xf numFmtId="42" fontId="70" fillId="6" borderId="636" xfId="4" applyNumberFormat="1" applyFont="1" applyFill="1" applyBorder="1" applyAlignment="1">
      <alignment horizontal="center"/>
    </xf>
    <xf numFmtId="0" fontId="70" fillId="0" borderId="0" xfId="4" applyFont="1" applyFill="1" applyBorder="1" applyAlignment="1">
      <alignment horizontal="center" wrapText="1"/>
    </xf>
    <xf numFmtId="0" fontId="0" fillId="0" borderId="0" xfId="0" applyFill="1" applyBorder="1"/>
    <xf numFmtId="0" fontId="80" fillId="0" borderId="0" xfId="4" applyFont="1" applyFill="1" applyBorder="1" applyAlignment="1">
      <alignment horizontal="right" wrapText="1"/>
    </xf>
    <xf numFmtId="0" fontId="83" fillId="7" borderId="560" xfId="4" applyFont="1" applyFill="1" applyBorder="1" applyProtection="1">
      <protection locked="0"/>
    </xf>
    <xf numFmtId="0" fontId="83" fillId="7" borderId="561" xfId="4" applyFont="1" applyFill="1" applyBorder="1" applyProtection="1">
      <protection locked="0"/>
    </xf>
    <xf numFmtId="0" fontId="83" fillId="7" borderId="562" xfId="4" applyFont="1" applyFill="1" applyBorder="1" applyProtection="1">
      <protection locked="0"/>
    </xf>
    <xf numFmtId="44" fontId="79" fillId="7" borderId="560" xfId="4" applyNumberFormat="1" applyFont="1" applyFill="1" applyBorder="1" applyAlignment="1" applyProtection="1">
      <alignment horizontal="left"/>
      <protection locked="0"/>
    </xf>
    <xf numFmtId="44" fontId="79" fillId="7" borderId="561" xfId="4" applyNumberFormat="1" applyFont="1" applyFill="1" applyBorder="1" applyAlignment="1" applyProtection="1">
      <alignment horizontal="left"/>
      <protection locked="0"/>
    </xf>
    <xf numFmtId="44" fontId="79" fillId="7" borderId="562" xfId="4" applyNumberFormat="1" applyFont="1" applyFill="1" applyBorder="1" applyAlignment="1" applyProtection="1">
      <alignment horizontal="left"/>
      <protection locked="0"/>
    </xf>
    <xf numFmtId="0" fontId="83" fillId="7" borderId="560" xfId="4" applyFont="1" applyFill="1" applyBorder="1" applyAlignment="1" applyProtection="1">
      <protection locked="0"/>
    </xf>
    <xf numFmtId="0" fontId="83" fillId="7" borderId="561" xfId="4" applyFont="1" applyFill="1" applyBorder="1" applyAlignment="1" applyProtection="1">
      <protection locked="0"/>
    </xf>
    <xf numFmtId="0" fontId="83" fillId="7" borderId="562" xfId="4" applyFont="1" applyFill="1" applyBorder="1" applyAlignment="1" applyProtection="1">
      <protection locked="0"/>
    </xf>
    <xf numFmtId="0" fontId="79" fillId="7" borderId="560" xfId="4" applyFont="1" applyFill="1" applyBorder="1" applyAlignment="1" applyProtection="1">
      <alignment horizontal="left"/>
      <protection locked="0"/>
    </xf>
    <xf numFmtId="0" fontId="79" fillId="7" borderId="561" xfId="4" applyFont="1" applyFill="1" applyBorder="1" applyAlignment="1" applyProtection="1">
      <alignment horizontal="left"/>
      <protection locked="0"/>
    </xf>
    <xf numFmtId="0" fontId="79" fillId="7" borderId="562" xfId="4" applyFont="1" applyFill="1" applyBorder="1" applyAlignment="1" applyProtection="1">
      <alignment horizontal="left"/>
      <protection locked="0"/>
    </xf>
    <xf numFmtId="0" fontId="70" fillId="0" borderId="0" xfId="4" applyFont="1" applyFill="1" applyBorder="1" applyAlignment="1">
      <alignment wrapText="1"/>
    </xf>
    <xf numFmtId="42" fontId="79" fillId="6" borderId="560" xfId="4" applyNumberFormat="1" applyFont="1" applyFill="1" applyBorder="1" applyAlignment="1">
      <alignment horizontal="left"/>
    </xf>
    <xf numFmtId="0" fontId="0" fillId="6" borderId="562" xfId="0" applyFill="1" applyBorder="1" applyAlignment="1">
      <alignment horizontal="left"/>
    </xf>
    <xf numFmtId="0" fontId="79" fillId="0" borderId="0" xfId="4" applyFont="1" applyFill="1" applyBorder="1" applyAlignment="1">
      <alignment wrapText="1"/>
    </xf>
    <xf numFmtId="0" fontId="78" fillId="7" borderId="560" xfId="4" applyFont="1" applyFill="1" applyBorder="1" applyAlignment="1" applyProtection="1">
      <alignment horizontal="right"/>
      <protection locked="0"/>
    </xf>
    <xf numFmtId="0" fontId="78" fillId="7" borderId="561" xfId="4" applyFont="1" applyFill="1" applyBorder="1" applyAlignment="1" applyProtection="1">
      <alignment horizontal="right"/>
      <protection locked="0"/>
    </xf>
    <xf numFmtId="0" fontId="78" fillId="7" borderId="562" xfId="4" applyFont="1" applyFill="1" applyBorder="1" applyAlignment="1" applyProtection="1">
      <alignment horizontal="right"/>
      <protection locked="0"/>
    </xf>
    <xf numFmtId="37" fontId="78" fillId="7" borderId="560" xfId="4" applyNumberFormat="1" applyFont="1" applyFill="1" applyBorder="1" applyAlignment="1" applyProtection="1">
      <alignment horizontal="right"/>
      <protection locked="0"/>
    </xf>
    <xf numFmtId="37" fontId="78" fillId="7" borderId="561" xfId="4" applyNumberFormat="1" applyFont="1" applyFill="1" applyBorder="1" applyAlignment="1" applyProtection="1">
      <alignment horizontal="right"/>
      <protection locked="0"/>
    </xf>
    <xf numFmtId="37" fontId="78" fillId="7" borderId="562" xfId="4" applyNumberFormat="1" applyFont="1" applyFill="1" applyBorder="1" applyAlignment="1" applyProtection="1">
      <alignment horizontal="right"/>
      <protection locked="0"/>
    </xf>
    <xf numFmtId="0" fontId="83" fillId="7" borderId="560" xfId="4" applyFont="1" applyFill="1" applyBorder="1" applyAlignment="1" applyProtection="1">
      <alignment horizontal="left"/>
      <protection locked="0"/>
    </xf>
    <xf numFmtId="0" fontId="83" fillId="7" borderId="562" xfId="4" applyFont="1" applyFill="1" applyBorder="1" applyAlignment="1" applyProtection="1">
      <alignment horizontal="left"/>
      <protection locked="0"/>
    </xf>
    <xf numFmtId="37" fontId="78" fillId="7" borderId="560" xfId="4" applyNumberFormat="1" applyFont="1" applyFill="1" applyBorder="1" applyAlignment="1" applyProtection="1">
      <alignment horizontal="left"/>
      <protection locked="0"/>
    </xf>
    <xf numFmtId="37" fontId="78" fillId="7" borderId="561" xfId="4" applyNumberFormat="1" applyFont="1" applyFill="1" applyBorder="1" applyAlignment="1" applyProtection="1">
      <alignment horizontal="left"/>
      <protection locked="0"/>
    </xf>
    <xf numFmtId="37" fontId="78" fillId="7" borderId="562" xfId="4" applyNumberFormat="1" applyFont="1" applyFill="1" applyBorder="1" applyAlignment="1" applyProtection="1">
      <alignment horizontal="left"/>
      <protection locked="0"/>
    </xf>
    <xf numFmtId="0" fontId="20" fillId="16" borderId="163" xfId="0" applyFont="1" applyFill="1" applyBorder="1" applyAlignment="1" applyProtection="1">
      <alignment horizontal="left"/>
    </xf>
    <xf numFmtId="0" fontId="20" fillId="16" borderId="442" xfId="0" applyFont="1" applyFill="1" applyBorder="1" applyAlignment="1" applyProtection="1">
      <alignment horizontal="left"/>
    </xf>
    <xf numFmtId="0" fontId="20" fillId="16" borderId="443" xfId="0" applyFont="1" applyFill="1" applyBorder="1" applyAlignment="1" applyProtection="1">
      <alignment horizontal="left"/>
    </xf>
    <xf numFmtId="0" fontId="2" fillId="0" borderId="559" xfId="0" applyFont="1" applyFill="1" applyBorder="1"/>
    <xf numFmtId="0" fontId="70" fillId="0" borderId="0" xfId="4" applyFont="1" applyFill="1" applyBorder="1" applyAlignment="1">
      <alignment horizontal="left" wrapText="1"/>
    </xf>
    <xf numFmtId="37" fontId="78" fillId="7" borderId="597" xfId="4" applyNumberFormat="1" applyFont="1" applyFill="1" applyBorder="1" applyAlignment="1" applyProtection="1">
      <alignment horizontal="left" vertical="top" wrapText="1"/>
      <protection locked="0"/>
    </xf>
    <xf numFmtId="37" fontId="78" fillId="7" borderId="598" xfId="4" applyNumberFormat="1" applyFont="1" applyFill="1" applyBorder="1" applyAlignment="1" applyProtection="1">
      <alignment horizontal="left" vertical="top" wrapText="1"/>
      <protection locked="0"/>
    </xf>
    <xf numFmtId="37" fontId="78" fillId="7" borderId="599" xfId="4" applyNumberFormat="1" applyFont="1" applyFill="1" applyBorder="1" applyAlignment="1" applyProtection="1">
      <alignment horizontal="left" vertical="top" wrapText="1"/>
      <protection locked="0"/>
    </xf>
    <xf numFmtId="37" fontId="78" fillId="7" borderId="600" xfId="4" applyNumberFormat="1" applyFont="1" applyFill="1" applyBorder="1" applyAlignment="1" applyProtection="1">
      <alignment horizontal="left" vertical="top" wrapText="1"/>
      <protection locked="0"/>
    </xf>
    <xf numFmtId="37" fontId="78" fillId="7" borderId="601" xfId="4" applyNumberFormat="1" applyFont="1" applyFill="1" applyBorder="1" applyAlignment="1" applyProtection="1">
      <alignment horizontal="left" vertical="top" wrapText="1"/>
      <protection locked="0"/>
    </xf>
    <xf numFmtId="37" fontId="78" fillId="7" borderId="602" xfId="4" applyNumberFormat="1" applyFont="1" applyFill="1" applyBorder="1" applyAlignment="1" applyProtection="1">
      <alignment horizontal="left" vertical="top" wrapText="1"/>
      <protection locked="0"/>
    </xf>
    <xf numFmtId="0" fontId="70" fillId="7" borderId="54" xfId="4" applyFont="1" applyFill="1" applyBorder="1" applyAlignment="1" applyProtection="1">
      <alignment horizontal="center"/>
      <protection locked="0"/>
    </xf>
    <xf numFmtId="0" fontId="70" fillId="7" borderId="55" xfId="4" applyFont="1" applyFill="1" applyBorder="1" applyAlignment="1" applyProtection="1">
      <alignment horizontal="center"/>
      <protection locked="0"/>
    </xf>
    <xf numFmtId="0" fontId="70" fillId="0" borderId="0" xfId="4" applyFont="1" applyFill="1" applyBorder="1" applyAlignment="1"/>
    <xf numFmtId="0" fontId="87" fillId="7" borderId="560" xfId="4" applyFont="1" applyFill="1" applyBorder="1" applyAlignment="1" applyProtection="1">
      <alignment horizontal="left"/>
      <protection locked="0"/>
    </xf>
    <xf numFmtId="0" fontId="87" fillId="7" borderId="561" xfId="4" applyFont="1" applyFill="1" applyBorder="1" applyAlignment="1" applyProtection="1">
      <alignment horizontal="left"/>
      <protection locked="0"/>
    </xf>
    <xf numFmtId="0" fontId="87" fillId="7" borderId="562" xfId="4" applyFont="1" applyFill="1" applyBorder="1" applyAlignment="1" applyProtection="1">
      <alignment horizontal="left"/>
      <protection locked="0"/>
    </xf>
    <xf numFmtId="171" fontId="78" fillId="7" borderId="572" xfId="4" applyNumberFormat="1" applyFont="1" applyFill="1" applyBorder="1" applyAlignment="1" applyProtection="1">
      <alignment horizontal="left"/>
      <protection locked="0"/>
    </xf>
    <xf numFmtId="171" fontId="78" fillId="7" borderId="574" xfId="4" applyNumberFormat="1" applyFont="1" applyFill="1" applyBorder="1" applyAlignment="1" applyProtection="1">
      <alignment horizontal="left"/>
      <protection locked="0"/>
    </xf>
    <xf numFmtId="0" fontId="70" fillId="5" borderId="0" xfId="4" applyFont="1" applyFill="1" applyBorder="1" applyAlignment="1" applyProtection="1">
      <alignment horizontal="center" wrapText="1"/>
    </xf>
    <xf numFmtId="0" fontId="0" fillId="0" borderId="0" xfId="0" applyBorder="1" applyProtection="1"/>
    <xf numFmtId="0" fontId="80" fillId="3" borderId="0" xfId="4" applyFont="1" applyFill="1" applyBorder="1" applyAlignment="1" applyProtection="1">
      <alignment horizontal="right" wrapText="1"/>
    </xf>
    <xf numFmtId="0" fontId="83" fillId="7" borderId="572" xfId="4" applyFont="1" applyFill="1" applyBorder="1" applyAlignment="1" applyProtection="1">
      <protection locked="0"/>
    </xf>
    <xf numFmtId="0" fontId="83" fillId="7" borderId="573" xfId="4" applyFont="1" applyFill="1" applyBorder="1" applyAlignment="1" applyProtection="1">
      <protection locked="0"/>
    </xf>
    <xf numFmtId="0" fontId="83" fillId="7" borderId="574" xfId="4" applyFont="1" applyFill="1" applyBorder="1" applyAlignment="1" applyProtection="1">
      <protection locked="0"/>
    </xf>
    <xf numFmtId="0" fontId="94" fillId="3" borderId="570" xfId="4" applyFont="1" applyFill="1" applyBorder="1" applyAlignment="1" applyProtection="1">
      <alignment horizontal="right"/>
    </xf>
    <xf numFmtId="0" fontId="0" fillId="0" borderId="570" xfId="0" applyBorder="1" applyAlignment="1" applyProtection="1">
      <alignment horizontal="right"/>
    </xf>
    <xf numFmtId="0" fontId="0" fillId="0" borderId="571" xfId="0" applyBorder="1" applyAlignment="1" applyProtection="1">
      <alignment horizontal="right"/>
    </xf>
    <xf numFmtId="0" fontId="79" fillId="7" borderId="572" xfId="4" applyFont="1" applyFill="1" applyBorder="1" applyAlignment="1" applyProtection="1">
      <alignment horizontal="center"/>
      <protection locked="0"/>
    </xf>
    <xf numFmtId="0" fontId="79" fillId="7" borderId="574" xfId="4" applyFont="1" applyFill="1" applyBorder="1" applyAlignment="1" applyProtection="1">
      <alignment horizontal="center"/>
      <protection locked="0"/>
    </xf>
    <xf numFmtId="0" fontId="70" fillId="3" borderId="0" xfId="4" applyFont="1" applyFill="1" applyBorder="1" applyAlignment="1" applyProtection="1">
      <alignment horizontal="left" wrapText="1"/>
    </xf>
    <xf numFmtId="0" fontId="79" fillId="7" borderId="572" xfId="4" applyFont="1" applyFill="1" applyBorder="1" applyAlignment="1" applyProtection="1">
      <protection locked="0"/>
    </xf>
    <xf numFmtId="0" fontId="79" fillId="7" borderId="573" xfId="4" applyFont="1" applyFill="1" applyBorder="1" applyAlignment="1" applyProtection="1">
      <protection locked="0"/>
    </xf>
    <xf numFmtId="0" fontId="79" fillId="7" borderId="574" xfId="4" applyFont="1" applyFill="1" applyBorder="1" applyAlignment="1" applyProtection="1">
      <protection locked="0"/>
    </xf>
    <xf numFmtId="0" fontId="0" fillId="0" borderId="0" xfId="0" applyBorder="1" applyAlignment="1" applyProtection="1">
      <alignment horizontal="left" vertical="center" wrapText="1"/>
    </xf>
    <xf numFmtId="0" fontId="0" fillId="0" borderId="0" xfId="0" applyBorder="1" applyAlignment="1" applyProtection="1">
      <alignment wrapText="1"/>
    </xf>
    <xf numFmtId="0" fontId="70" fillId="3" borderId="0" xfId="4" applyFont="1" applyFill="1" applyBorder="1" applyAlignment="1" applyProtection="1">
      <alignment wrapText="1"/>
    </xf>
    <xf numFmtId="171" fontId="78" fillId="6" borderId="572" xfId="4" applyNumberFormat="1" applyFont="1" applyFill="1" applyBorder="1" applyAlignment="1" applyProtection="1">
      <alignment horizontal="left"/>
    </xf>
    <xf numFmtId="171" fontId="78" fillId="6" borderId="574" xfId="4" applyNumberFormat="1" applyFont="1" applyFill="1" applyBorder="1" applyAlignment="1" applyProtection="1">
      <alignment horizontal="left"/>
    </xf>
    <xf numFmtId="9" fontId="78" fillId="6" borderId="572" xfId="4" applyNumberFormat="1" applyFont="1" applyFill="1" applyBorder="1" applyAlignment="1" applyProtection="1">
      <alignment horizontal="right"/>
    </xf>
    <xf numFmtId="9" fontId="78" fillId="6" borderId="574" xfId="4" applyNumberFormat="1" applyFont="1" applyFill="1" applyBorder="1" applyAlignment="1" applyProtection="1">
      <alignment horizontal="right"/>
    </xf>
    <xf numFmtId="0" fontId="83" fillId="7" borderId="594" xfId="4" applyFont="1" applyFill="1" applyBorder="1" applyAlignment="1" applyProtection="1">
      <protection locked="0"/>
    </xf>
    <xf numFmtId="0" fontId="83" fillId="7" borderId="595" xfId="4" applyFont="1" applyFill="1" applyBorder="1" applyAlignment="1" applyProtection="1">
      <protection locked="0"/>
    </xf>
    <xf numFmtId="0" fontId="79" fillId="7" borderId="572" xfId="4" applyFont="1" applyFill="1" applyBorder="1" applyAlignment="1" applyProtection="1">
      <alignment horizontal="left"/>
      <protection locked="0"/>
    </xf>
    <xf numFmtId="0" fontId="79" fillId="7" borderId="573" xfId="4" applyFont="1" applyFill="1" applyBorder="1" applyAlignment="1" applyProtection="1">
      <alignment horizontal="left"/>
      <protection locked="0"/>
    </xf>
    <xf numFmtId="0" fontId="79" fillId="7" borderId="574" xfId="4" applyFont="1" applyFill="1" applyBorder="1" applyAlignment="1" applyProtection="1">
      <alignment horizontal="left"/>
      <protection locked="0"/>
    </xf>
    <xf numFmtId="0" fontId="70" fillId="3" borderId="0" xfId="4" applyFont="1" applyFill="1" applyBorder="1" applyAlignment="1" applyProtection="1">
      <alignment vertical="top" wrapText="1"/>
    </xf>
    <xf numFmtId="0" fontId="0" fillId="0" borderId="0" xfId="0" applyBorder="1" applyAlignment="1" applyProtection="1">
      <alignment vertical="top" wrapText="1"/>
    </xf>
  </cellXfs>
  <cellStyles count="6">
    <cellStyle name="Currency" xfId="1" builtinId="4"/>
    <cellStyle name="Normal" xfId="0" builtinId="0"/>
    <cellStyle name="Normal 2 3" xfId="3" xr:uid="{00000000-0005-0000-0000-000002000000}"/>
    <cellStyle name="Normal 3 2" xfId="5" xr:uid="{00000000-0005-0000-0000-000003000000}"/>
    <cellStyle name="Normal_LIHTC Allocation scoring synopsis" xfId="4" xr:uid="{00000000-0005-0000-0000-000004000000}"/>
    <cellStyle name="Percent" xfId="2" builtinId="5"/>
  </cellStyles>
  <dxfs count="184">
    <dxf>
      <font>
        <color rgb="FF006100"/>
      </font>
      <fill>
        <patternFill>
          <bgColor rgb="FFC6EFCE"/>
        </patternFill>
      </fill>
    </dxf>
    <dxf>
      <font>
        <color rgb="FFFF0000"/>
      </font>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color rgb="FFFF0000"/>
      </font>
    </dxf>
    <dxf>
      <font>
        <color rgb="FFFF000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6500"/>
      </font>
      <fill>
        <patternFill>
          <bgColor rgb="FFFFEB9C"/>
        </patternFill>
      </fill>
    </dxf>
    <dxf>
      <fill>
        <patternFill patternType="lightUp">
          <fgColor auto="1"/>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color rgb="FF9C0006"/>
      </font>
      <fill>
        <patternFill>
          <bgColor rgb="FFFFC7CE"/>
        </patternFill>
      </fill>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outline="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CCFFCC"/>
      <color rgb="FFFFFFCC"/>
      <color rgb="FF08A8CE"/>
      <color rgb="FF66FFFF"/>
      <color rgb="FF9C6500"/>
      <color rgb="FFFFEB9C"/>
      <color rgb="FF996600"/>
      <color rgb="FFCCECFF"/>
      <color rgb="FF31869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ctrlProps/ctrlProp1.xml><?xml version="1.0" encoding="utf-8"?>
<formControlPr xmlns="http://schemas.microsoft.com/office/spreadsheetml/2009/9/main" objectType="CheckBox" fmlaLink="$I$243" lockText="1"/>
</file>

<file path=xl/ctrlProps/ctrlProp2.xml><?xml version="1.0" encoding="utf-8"?>
<formControlPr xmlns="http://schemas.microsoft.com/office/spreadsheetml/2009/9/main" objectType="CheckBox" fmlaLink="$I$244" lockText="1"/>
</file>

<file path=xl/ctrlProps/ctrlProp3.xml><?xml version="1.0" encoding="utf-8"?>
<formControlPr xmlns="http://schemas.microsoft.com/office/spreadsheetml/2009/9/main" objectType="CheckBox" fmlaLink="$N$207" lockText="1"/>
</file>

<file path=xl/ctrlProps/ctrlProp4.xml><?xml version="1.0" encoding="utf-8"?>
<formControlPr xmlns="http://schemas.microsoft.com/office/spreadsheetml/2009/9/main" objectType="CheckBox" fmlaLink="$N$208" lockText="1"/>
</file>

<file path=xl/ctrlProps/ctrlProp5.xml><?xml version="1.0" encoding="utf-8"?>
<formControlPr xmlns="http://schemas.microsoft.com/office/spreadsheetml/2009/9/main" objectType="CheckBox" fmlaLink="$J$216" lockText="1"/>
</file>

<file path=xl/ctrlProps/ctrlProp6.xml><?xml version="1.0" encoding="utf-8"?>
<formControlPr xmlns="http://schemas.microsoft.com/office/spreadsheetml/2009/9/main" objectType="CheckBox" fmlaLink="$J$217" lockText="1"/>
</file>

<file path=xl/ctrlProps/ctrlProp7.xml><?xml version="1.0" encoding="utf-8"?>
<formControlPr xmlns="http://schemas.microsoft.com/office/spreadsheetml/2009/9/main" objectType="CheckBox" fmlaLink="$J$214" lockText="1"/>
</file>

<file path=xl/ctrlProps/ctrlProp8.xml><?xml version="1.0" encoding="utf-8"?>
<formControlPr xmlns="http://schemas.microsoft.com/office/spreadsheetml/2009/9/main" objectType="CheckBox" fmlaLink="$J$215" lockText="1"/>
</file>

<file path=xl/ctrlProps/ctrlProp9.xml><?xml version="1.0" encoding="utf-8"?>
<formControlPr xmlns="http://schemas.microsoft.com/office/spreadsheetml/2009/9/main" objectType="CheckBox" fmlaLink="$J$218" lockText="1"/>
</file>

<file path=xl/ctrlProps/ctrlProp10.xml><?xml version="1.0" encoding="utf-8"?>
<formControlPr xmlns="http://schemas.microsoft.com/office/spreadsheetml/2009/9/main" objectType="CheckBox" fmlaLink="$J$219" lockText="1"/>
</file>

<file path=xl/ctrlProps/ctrlProp11.xml><?xml version="1.0" encoding="utf-8"?>
<formControlPr xmlns="http://schemas.microsoft.com/office/spreadsheetml/2009/9/main" objectType="CheckBox" fmlaLink="$N$235" lockText="1"/>
</file>

<file path=xl/ctrlProps/ctrlProp12.xml><?xml version="1.0" encoding="utf-8"?>
<formControlPr xmlns="http://schemas.microsoft.com/office/spreadsheetml/2009/9/main" objectType="CheckBox" fmlaLink="$N$236" lockText="1"/>
</file>

<file path=xl/drawings/_rels/drawing4.xml.rels><?xml version="1.0" encoding="UTF-8" standalone="yes"?>
<Relationships xmlns="http://schemas.openxmlformats.org/package/2006/relationships"><Relationship Id="rId1" Type="http://schemas.openxmlformats.org/officeDocument/2006/relationships/hyperlink" Target="http://www.commerce.wa.gov/wp-content/uploads/2018/03/hfu-esds-v3.0.1.pdf"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wshfc.org/mhcf/9percent/2019application/c.policies.pdf"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wshfc.org/mhcf/4percent/2019BondTC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2019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of the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twoCellAnchor>
    <xdr:from>
      <xdr:col>12</xdr:col>
      <xdr:colOff>28575</xdr:colOff>
      <xdr:row>1</xdr:row>
      <xdr:rowOff>19050</xdr:rowOff>
    </xdr:from>
    <xdr:to>
      <xdr:col>14</xdr:col>
      <xdr:colOff>600075</xdr:colOff>
      <xdr:row>5</xdr:row>
      <xdr:rowOff>76200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7343775" y="209550"/>
          <a:ext cx="1790700" cy="819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CFA Forms</a:t>
          </a:r>
        </a:p>
        <a:p>
          <a:r>
            <a:rPr lang="en-US" sz="1400"/>
            <a:t>2019 Edition</a:t>
          </a:r>
        </a:p>
        <a:p>
          <a:r>
            <a:rPr lang="en-US" sz="1400"/>
            <a:t>Version 1.0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(v3.0.1)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A00-000004000000}"/>
            </a:ext>
          </a:extLst>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v3.0.1</a:t>
          </a:r>
          <a:endParaRPr lang="en-US" sz="1400" u="sng">
            <a:solidFill>
              <a:srgbClr val="0000FF"/>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Low Income reported on Form 2A</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152400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04775" y="85726"/>
          <a:ext cx="8724900" cy="17811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76199</xdr:colOff>
      <xdr:row>0</xdr:row>
      <xdr:rowOff>95249</xdr:rowOff>
    </xdr:from>
    <xdr:to>
      <xdr:col>22</xdr:col>
      <xdr:colOff>9525</xdr:colOff>
      <xdr:row>10</xdr:row>
      <xdr:rowOff>47624</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76199" y="95249"/>
          <a:ext cx="10896601" cy="1857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portion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1"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If you utilize formulas to calculate specific costs, please hard-key the results to the nearest cent. </a:t>
          </a:r>
          <a:endParaRPr lang="en-US" b="1" i="1">
            <a:effectLst/>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514350</xdr:colOff>
      <xdr:row>1</xdr:row>
      <xdr:rowOff>104775</xdr:rowOff>
    </xdr:from>
    <xdr:to>
      <xdr:col>8</xdr:col>
      <xdr:colOff>104775</xdr:colOff>
      <xdr:row>4</xdr:row>
      <xdr:rowOff>104775</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3914775" y="295275"/>
          <a:ext cx="2200275" cy="571500"/>
        </a:xfrm>
        <a:prstGeom prst="rect">
          <a:avLst/>
        </a:prstGeom>
        <a:solidFill>
          <a:srgbClr val="FFFFCC"/>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US" sz="1100"/>
            <a:t>Current as</a:t>
          </a:r>
          <a:r>
            <a:rPr lang="en-US" sz="1100" baseline="0"/>
            <a:t> of 2019.03.24</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18</xdr:col>
      <xdr:colOff>28575</xdr:colOff>
      <xdr:row>6</xdr:row>
      <xdr:rowOff>38100</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04774" y="57149"/>
          <a:ext cx="12963526" cy="112395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9</xdr:col>
      <xdr:colOff>95250</xdr:colOff>
      <xdr:row>7</xdr:row>
      <xdr:rowOff>123824</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U</a:t>
          </a:r>
          <a:r>
            <a:rPr lang="en-US" sz="1100">
              <a:solidFill>
                <a:schemeClr val="dk1"/>
              </a:solidFill>
              <a:effectLst/>
              <a:latin typeface="+mn-lt"/>
              <a:ea typeface="+mn-ea"/>
              <a:cs typeface="+mn-cs"/>
            </a:rPr>
            <a:t>tilize revenue inflation factors, cost escalators, and vacancy rates based on similar projects in your portfolio, guidance from revenue sources, or other data sources. </a:t>
          </a:r>
        </a:p>
        <a:p>
          <a:pPr eaLnBrk="1" fontAlgn="auto" latinLnBrk="0" hangingPunct="1"/>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Declare the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may be overwritten.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this is a considered a loan default.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Payments to an affiliated organization are never considered "Hard Debt" regardless of whether they are required. </a:t>
          </a:r>
          <a:br>
            <a:rPr lang="en-US" sz="400" i="1">
              <a:solidFill>
                <a:schemeClr val="dk1"/>
              </a:solidFill>
              <a:effectLst/>
              <a:latin typeface="+mn-lt"/>
              <a:ea typeface="+mn-ea"/>
              <a:cs typeface="+mn-cs"/>
            </a:rPr>
          </a:br>
          <a:endParaRPr lang="en-US" sz="400" i="1">
            <a:solidFill>
              <a:schemeClr val="dk1"/>
            </a:solidFill>
            <a:effectLst/>
            <a:latin typeface="+mn-lt"/>
            <a:ea typeface="+mn-ea"/>
            <a:cs typeface="+mn-cs"/>
          </a:endParaRPr>
        </a:p>
        <a:p>
          <a:r>
            <a:rPr lang="en-US" sz="1100">
              <a:solidFill>
                <a:schemeClr val="dk1"/>
              </a:solidFill>
              <a:effectLst/>
              <a:latin typeface="+mn-lt"/>
              <a:ea typeface="+mn-ea"/>
              <a:cs typeface="+mn-cs"/>
            </a:rPr>
            <a:t> </a:t>
          </a:r>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optional payments principal and accrued interest if there is cash flow available after all project expenses including hard debt payments have been paid.  If payment is not made, this is not considered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id="{00000000-0008-0000-1F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66674</xdr:rowOff>
    </xdr:from>
    <xdr:to>
      <xdr:col>14</xdr:col>
      <xdr:colOff>190500</xdr:colOff>
      <xdr:row>11</xdr:row>
      <xdr:rowOff>19050</xdr:rowOff>
    </xdr:to>
    <xdr:sp macro="" textlink="">
      <xdr:nvSpPr>
        <xdr:cNvPr id="2" name="TextBox 1">
          <a:extLst>
            <a:ext uri="{FF2B5EF4-FFF2-40B4-BE49-F238E27FC236}">
              <a16:creationId xmlns:a16="http://schemas.microsoft.com/office/drawing/2014/main" id="{00000000-0008-0000-2300-000002000000}"/>
            </a:ext>
          </a:extLst>
        </xdr:cNvPr>
        <xdr:cNvSpPr txBox="1"/>
      </xdr:nvSpPr>
      <xdr:spPr>
        <a:xfrm>
          <a:off x="114300" y="66674"/>
          <a:ext cx="7677150" cy="191452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a:t>
          </a:r>
          <a:r>
            <a:rPr lang="en-US" sz="1400" b="1" baseline="0"/>
            <a:t> 11A: 9% LIHTC Allocation Scoring</a:t>
          </a:r>
          <a:endParaRPr lang="en-US" sz="1400" b="1"/>
        </a:p>
        <a:p>
          <a:r>
            <a:rPr lang="en-US" sz="1100" b="1" i="0">
              <a:solidFill>
                <a:schemeClr val="dk1"/>
              </a:solidFill>
              <a:effectLst/>
              <a:latin typeface="+mn-lt"/>
              <a:ea typeface="+mn-ea"/>
              <a:cs typeface="+mn-cs"/>
            </a:rPr>
            <a:t>Instructions:</a:t>
          </a:r>
        </a:p>
        <a:p>
          <a:r>
            <a:rPr lang="en-US" sz="1100"/>
            <a:t>Complete the Scoring Worksheet below by indicating the number of points in the green</a:t>
          </a:r>
        </a:p>
        <a:p>
          <a:r>
            <a:rPr lang="en-US" sz="1100"/>
            <a:t>boxes and entering additional details where indicated.  Please refer to Chapter 6 of the </a:t>
          </a:r>
        </a:p>
        <a:p>
          <a:r>
            <a:rPr lang="en-US" sz="1100" i="1"/>
            <a:t>9% Competetive</a:t>
          </a:r>
          <a:r>
            <a:rPr lang="en-US" sz="1100" i="1" baseline="0"/>
            <a:t> Housing Tax Credit </a:t>
          </a:r>
          <a:r>
            <a:rPr lang="en-US" sz="1100" i="1"/>
            <a:t>Policies - 2019</a:t>
          </a:r>
          <a:r>
            <a:rPr lang="en-US" sz="1100"/>
            <a:t> for definitions and specific details on each allocation criterion.  </a:t>
          </a:r>
        </a:p>
        <a:p>
          <a:endParaRPr lang="en-US" sz="1100"/>
        </a:p>
        <a:p>
          <a:r>
            <a:rPr lang="en-US" sz="1100"/>
            <a:t>By making a selection, the Project Owner agrees that, if it receives an Allocation of Credit, it will comply with all of the requirements related to the selected Allocation Criteria as set forth in the Policies.  The Project Owner is responsible for demonstrating that the Project qualifies for all selected Allocation Criteria and ensuring that all required attachments are submitted.  </a:t>
          </a:r>
        </a:p>
      </xdr:txBody>
    </xdr:sp>
    <xdr:clientData/>
  </xdr:twoCellAnchor>
  <xdr:twoCellAnchor>
    <xdr:from>
      <xdr:col>11</xdr:col>
      <xdr:colOff>809625</xdr:colOff>
      <xdr:row>0</xdr:row>
      <xdr:rowOff>142875</xdr:rowOff>
    </xdr:from>
    <xdr:to>
      <xdr:col>14</xdr:col>
      <xdr:colOff>3175</xdr:colOff>
      <xdr:row>4</xdr:row>
      <xdr:rowOff>165100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2300-000003000000}"/>
            </a:ext>
          </a:extLst>
        </xdr:cNvPr>
        <xdr:cNvSpPr txBox="1"/>
      </xdr:nvSpPr>
      <xdr:spPr bwMode="auto">
        <a:xfrm>
          <a:off x="5867400" y="142875"/>
          <a:ext cx="1736725" cy="650875"/>
        </a:xfrm>
        <a:prstGeom prst="rect">
          <a:avLst/>
        </a:prstGeom>
        <a:solidFill>
          <a:schemeClr val="accent6">
            <a:lumMod val="20000"/>
            <a:lumOff val="80000"/>
          </a:schemeClr>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2019 9% LIHTC Policies</a:t>
          </a:r>
        </a:p>
      </xdr:txBody>
    </xdr:sp>
    <xdr:clientData/>
  </xdr:twoCellAnchor>
  <xdr:oneCellAnchor>
    <xdr:from>
      <xdr:col>2</xdr:col>
      <xdr:colOff>55559</xdr:colOff>
      <xdr:row>8</xdr:row>
      <xdr:rowOff>85726</xdr:rowOff>
    </xdr:from>
    <xdr:ext cx="7281888" cy="1344599"/>
    <xdr:sp macro="" textlink="">
      <xdr:nvSpPr>
        <xdr:cNvPr id="4" name="Rectangle 3">
          <a:extLst>
            <a:ext uri="{FF2B5EF4-FFF2-40B4-BE49-F238E27FC236}">
              <a16:creationId xmlns:a16="http://schemas.microsoft.com/office/drawing/2014/main" id="{D4A35764-B78F-4174-BA8D-C6F708F70AD3}"/>
            </a:ext>
          </a:extLst>
        </xdr:cNvPr>
        <xdr:cNvSpPr/>
      </xdr:nvSpPr>
      <xdr:spPr>
        <a:xfrm rot="20441230">
          <a:off x="284159" y="1476376"/>
          <a:ext cx="7281888" cy="1344599"/>
        </a:xfrm>
        <a:prstGeom prst="rect">
          <a:avLst/>
        </a:prstGeom>
        <a:solidFill>
          <a:srgbClr val="F79646">
            <a:lumMod val="60000"/>
            <a:lumOff val="40000"/>
          </a:srgbClr>
        </a:solid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000" b="1" i="0" u="none" strike="noStrike" kern="0" cap="none" spc="0" normalizeH="0" baseline="0" noProof="0">
              <a:ln w="10541" cmpd="sng">
                <a:solidFill>
                  <a:srgbClr val="7D7D7D">
                    <a:tint val="100000"/>
                    <a:shade val="100000"/>
                    <a:satMod val="110000"/>
                  </a:srgbClr>
                </a:solidFill>
                <a:prstDash val="solid"/>
              </a:ln>
              <a:solidFill>
                <a:sysClr val="windowText" lastClr="000000">
                  <a:lumMod val="65000"/>
                  <a:lumOff val="35000"/>
                </a:sysClr>
              </a:solidFill>
              <a:effectLst/>
              <a:uLnTx/>
              <a:uFillTx/>
            </a:rPr>
            <a:t>Please replace this form with the 2020 LIHTC Addendum</a:t>
          </a: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10</xdr:col>
      <xdr:colOff>466725</xdr:colOff>
      <xdr:row>24</xdr:row>
      <xdr:rowOff>9525</xdr:rowOff>
    </xdr:from>
    <xdr:to>
      <xdr:col>13</xdr:col>
      <xdr:colOff>593272</xdr:colOff>
      <xdr:row>28</xdr:row>
      <xdr:rowOff>179615</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4600575" y="2914650"/>
          <a:ext cx="2450647" cy="1103540"/>
        </a:xfrm>
        <a:prstGeom prst="rect">
          <a:avLst/>
        </a:prstGeom>
        <a:solidFill>
          <a:schemeClr val="accent1">
            <a:lumMod val="20000"/>
            <a:lumOff val="80000"/>
            <a:alpha val="90000"/>
          </a:schemeClr>
        </a:solidFill>
        <a:ln w="19050" cmpd="sng">
          <a:solidFill>
            <a:schemeClr val="tx2">
              <a:lumMod val="60000"/>
              <a:lumOff val="4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2">
                  <a:lumMod val="75000"/>
                </a:schemeClr>
              </a:solidFill>
            </a:rPr>
            <a:t>Rounding Rule:  </a:t>
          </a:r>
          <a:r>
            <a:rPr lang="en-US" sz="900" b="0">
              <a:solidFill>
                <a:schemeClr val="tx2">
                  <a:lumMod val="75000"/>
                </a:schemeClr>
              </a:solidFill>
            </a:rPr>
            <a:t>If the set-aside units do not add up to the total units,</a:t>
          </a:r>
          <a:r>
            <a:rPr lang="en-US" sz="900" b="0" baseline="0">
              <a:solidFill>
                <a:schemeClr val="tx2">
                  <a:lumMod val="75000"/>
                </a:schemeClr>
              </a:solidFill>
            </a:rPr>
            <a:t> t</a:t>
          </a:r>
          <a:r>
            <a:rPr lang="en-US" sz="900" b="0">
              <a:solidFill>
                <a:schemeClr val="tx2">
                  <a:lumMod val="75000"/>
                </a:schemeClr>
              </a:solidFill>
            </a:rPr>
            <a:t>he lowest AMI Units will be rounded up first, and the highest will be rounded down.  Exp:  for a 38-unit bldg w/</a:t>
          </a:r>
          <a:r>
            <a:rPr lang="en-US" sz="900" b="0" baseline="0">
              <a:solidFill>
                <a:schemeClr val="tx2">
                  <a:lumMod val="75000"/>
                </a:schemeClr>
              </a:solidFill>
            </a:rPr>
            <a:t> 1 CAU w/ </a:t>
          </a:r>
          <a:r>
            <a:rPr lang="en-US" sz="900" b="0">
              <a:solidFill>
                <a:schemeClr val="tx2">
                  <a:lumMod val="75000"/>
                </a:schemeClr>
              </a:solidFill>
            </a:rPr>
            <a:t>50% @60%AMI and 50% @ 50%AMI, i.e., 18.5 and 18.5.  You </a:t>
          </a:r>
          <a:r>
            <a:rPr lang="en-US" sz="900" b="0">
              <a:solidFill>
                <a:schemeClr val="tx2">
                  <a:lumMod val="75000"/>
                </a:schemeClr>
              </a:solidFill>
              <a:latin typeface="+mn-lt"/>
              <a:ea typeface="+mn-ea"/>
              <a:cs typeface="+mn-cs"/>
            </a:rPr>
            <a:t>would round the 50% AMI up to 19 and the 60% down to 18.</a:t>
          </a:r>
        </a:p>
      </xdr:txBody>
    </xdr:sp>
    <xdr:clientData/>
  </xdr:twoCellAnchor>
  <mc:AlternateContent xmlns:mc="http://schemas.openxmlformats.org/markup-compatibility/2006">
    <mc:Choice xmlns:a14="http://schemas.microsoft.com/office/drawing/2010/main" Requires="a14">
      <xdr:twoCellAnchor editAs="oneCell">
        <xdr:from>
          <xdr:col>3</xdr:col>
          <xdr:colOff>123825</xdr:colOff>
          <xdr:row>242</xdr:row>
          <xdr:rowOff>38100</xdr:rowOff>
        </xdr:from>
        <xdr:to>
          <xdr:col>4</xdr:col>
          <xdr:colOff>161925</xdr:colOff>
          <xdr:row>243</xdr:row>
          <xdr:rowOff>0</xdr:rowOff>
        </xdr:to>
        <xdr:sp macro="" textlink="">
          <xdr:nvSpPr>
            <xdr:cNvPr id="203777" name="Check Box 1" hidden="1">
              <a:extLst>
                <a:ext uri="{63B3BB69-23CF-44E3-9099-C40C66FF867C}">
                  <a14:compatExt spid="_x0000_s203777"/>
                </a:ext>
                <a:ext uri="{FF2B5EF4-FFF2-40B4-BE49-F238E27FC236}">
                  <a16:creationId xmlns:a16="http://schemas.microsoft.com/office/drawing/2014/main" id="{00000000-0008-0000-2500-0000011C03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243</xdr:row>
          <xdr:rowOff>57150</xdr:rowOff>
        </xdr:from>
        <xdr:to>
          <xdr:col>4</xdr:col>
          <xdr:colOff>161925</xdr:colOff>
          <xdr:row>243</xdr:row>
          <xdr:rowOff>180975</xdr:rowOff>
        </xdr:to>
        <xdr:sp macro="" textlink="">
          <xdr:nvSpPr>
            <xdr:cNvPr id="203778" name="Check Box 2" hidden="1">
              <a:extLst>
                <a:ext uri="{63B3BB69-23CF-44E3-9099-C40C66FF867C}">
                  <a14:compatExt spid="_x0000_s203778"/>
                </a:ext>
                <a:ext uri="{FF2B5EF4-FFF2-40B4-BE49-F238E27FC236}">
                  <a16:creationId xmlns:a16="http://schemas.microsoft.com/office/drawing/2014/main" id="{00000000-0008-0000-2500-0000021C03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206</xdr:row>
          <xdr:rowOff>57150</xdr:rowOff>
        </xdr:from>
        <xdr:to>
          <xdr:col>5</xdr:col>
          <xdr:colOff>676275</xdr:colOff>
          <xdr:row>207</xdr:row>
          <xdr:rowOff>0</xdr:rowOff>
        </xdr:to>
        <xdr:sp macro="" textlink="">
          <xdr:nvSpPr>
            <xdr:cNvPr id="203779" name="Check Box 3" hidden="1">
              <a:extLst>
                <a:ext uri="{63B3BB69-23CF-44E3-9099-C40C66FF867C}">
                  <a14:compatExt spid="_x0000_s203779"/>
                </a:ext>
                <a:ext uri="{FF2B5EF4-FFF2-40B4-BE49-F238E27FC236}">
                  <a16:creationId xmlns:a16="http://schemas.microsoft.com/office/drawing/2014/main" id="{00000000-0008-0000-2500-0000031C03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207</xdr:row>
          <xdr:rowOff>28575</xdr:rowOff>
        </xdr:from>
        <xdr:to>
          <xdr:col>5</xdr:col>
          <xdr:colOff>676275</xdr:colOff>
          <xdr:row>208</xdr:row>
          <xdr:rowOff>0</xdr:rowOff>
        </xdr:to>
        <xdr:sp macro="" textlink="">
          <xdr:nvSpPr>
            <xdr:cNvPr id="203780" name="Check Box 4" hidden="1">
              <a:extLst>
                <a:ext uri="{63B3BB69-23CF-44E3-9099-C40C66FF867C}">
                  <a14:compatExt spid="_x0000_s203780"/>
                </a:ext>
                <a:ext uri="{FF2B5EF4-FFF2-40B4-BE49-F238E27FC236}">
                  <a16:creationId xmlns:a16="http://schemas.microsoft.com/office/drawing/2014/main" id="{00000000-0008-0000-2500-0000041C03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215</xdr:row>
          <xdr:rowOff>9525</xdr:rowOff>
        </xdr:from>
        <xdr:to>
          <xdr:col>5</xdr:col>
          <xdr:colOff>676275</xdr:colOff>
          <xdr:row>215</xdr:row>
          <xdr:rowOff>142875</xdr:rowOff>
        </xdr:to>
        <xdr:sp macro="" textlink="">
          <xdr:nvSpPr>
            <xdr:cNvPr id="203781" name="Check Box 5" hidden="1">
              <a:extLst>
                <a:ext uri="{63B3BB69-23CF-44E3-9099-C40C66FF867C}">
                  <a14:compatExt spid="_x0000_s203781"/>
                </a:ext>
                <a:ext uri="{FF2B5EF4-FFF2-40B4-BE49-F238E27FC236}">
                  <a16:creationId xmlns:a16="http://schemas.microsoft.com/office/drawing/2014/main" id="{00000000-0008-0000-2500-0000051C03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216</xdr:row>
          <xdr:rowOff>19050</xdr:rowOff>
        </xdr:from>
        <xdr:to>
          <xdr:col>5</xdr:col>
          <xdr:colOff>676275</xdr:colOff>
          <xdr:row>216</xdr:row>
          <xdr:rowOff>142875</xdr:rowOff>
        </xdr:to>
        <xdr:sp macro="" textlink="">
          <xdr:nvSpPr>
            <xdr:cNvPr id="203782" name="Check Box 6" hidden="1">
              <a:extLst>
                <a:ext uri="{63B3BB69-23CF-44E3-9099-C40C66FF867C}">
                  <a14:compatExt spid="_x0000_s203782"/>
                </a:ext>
                <a:ext uri="{FF2B5EF4-FFF2-40B4-BE49-F238E27FC236}">
                  <a16:creationId xmlns:a16="http://schemas.microsoft.com/office/drawing/2014/main" id="{00000000-0008-0000-2500-0000061C03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213</xdr:row>
          <xdr:rowOff>9525</xdr:rowOff>
        </xdr:from>
        <xdr:to>
          <xdr:col>5</xdr:col>
          <xdr:colOff>676275</xdr:colOff>
          <xdr:row>213</xdr:row>
          <xdr:rowOff>142875</xdr:rowOff>
        </xdr:to>
        <xdr:sp macro="" textlink="">
          <xdr:nvSpPr>
            <xdr:cNvPr id="203783" name="Check Box 7" hidden="1">
              <a:extLst>
                <a:ext uri="{63B3BB69-23CF-44E3-9099-C40C66FF867C}">
                  <a14:compatExt spid="_x0000_s203783"/>
                </a:ext>
                <a:ext uri="{FF2B5EF4-FFF2-40B4-BE49-F238E27FC236}">
                  <a16:creationId xmlns:a16="http://schemas.microsoft.com/office/drawing/2014/main" id="{00000000-0008-0000-2500-0000071C03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214</xdr:row>
          <xdr:rowOff>9525</xdr:rowOff>
        </xdr:from>
        <xdr:to>
          <xdr:col>5</xdr:col>
          <xdr:colOff>676275</xdr:colOff>
          <xdr:row>214</xdr:row>
          <xdr:rowOff>133350</xdr:rowOff>
        </xdr:to>
        <xdr:sp macro="" textlink="">
          <xdr:nvSpPr>
            <xdr:cNvPr id="203784" name="Check Box 8" hidden="1">
              <a:extLst>
                <a:ext uri="{63B3BB69-23CF-44E3-9099-C40C66FF867C}">
                  <a14:compatExt spid="_x0000_s203784"/>
                </a:ext>
                <a:ext uri="{FF2B5EF4-FFF2-40B4-BE49-F238E27FC236}">
                  <a16:creationId xmlns:a16="http://schemas.microsoft.com/office/drawing/2014/main" id="{00000000-0008-0000-2500-0000081C03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217</xdr:row>
          <xdr:rowOff>9525</xdr:rowOff>
        </xdr:from>
        <xdr:to>
          <xdr:col>5</xdr:col>
          <xdr:colOff>676275</xdr:colOff>
          <xdr:row>217</xdr:row>
          <xdr:rowOff>142875</xdr:rowOff>
        </xdr:to>
        <xdr:sp macro="" textlink="">
          <xdr:nvSpPr>
            <xdr:cNvPr id="203785" name="Check Box 9" hidden="1">
              <a:extLst>
                <a:ext uri="{63B3BB69-23CF-44E3-9099-C40C66FF867C}">
                  <a14:compatExt spid="_x0000_s203785"/>
                </a:ext>
                <a:ext uri="{FF2B5EF4-FFF2-40B4-BE49-F238E27FC236}">
                  <a16:creationId xmlns:a16="http://schemas.microsoft.com/office/drawing/2014/main" id="{00000000-0008-0000-2500-0000091C03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218</xdr:row>
          <xdr:rowOff>9525</xdr:rowOff>
        </xdr:from>
        <xdr:to>
          <xdr:col>5</xdr:col>
          <xdr:colOff>676275</xdr:colOff>
          <xdr:row>218</xdr:row>
          <xdr:rowOff>133350</xdr:rowOff>
        </xdr:to>
        <xdr:sp macro="" textlink="">
          <xdr:nvSpPr>
            <xdr:cNvPr id="203786" name="Check Box 10" hidden="1">
              <a:extLst>
                <a:ext uri="{63B3BB69-23CF-44E3-9099-C40C66FF867C}">
                  <a14:compatExt spid="_x0000_s203786"/>
                </a:ext>
                <a:ext uri="{FF2B5EF4-FFF2-40B4-BE49-F238E27FC236}">
                  <a16:creationId xmlns:a16="http://schemas.microsoft.com/office/drawing/2014/main" id="{00000000-0008-0000-2500-00000A1C03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234</xdr:row>
          <xdr:rowOff>9525</xdr:rowOff>
        </xdr:from>
        <xdr:to>
          <xdr:col>4</xdr:col>
          <xdr:colOff>133350</xdr:colOff>
          <xdr:row>234</xdr:row>
          <xdr:rowOff>142875</xdr:rowOff>
        </xdr:to>
        <xdr:sp macro="" textlink="">
          <xdr:nvSpPr>
            <xdr:cNvPr id="203787" name="Check Box 11" hidden="1">
              <a:extLst>
                <a:ext uri="{63B3BB69-23CF-44E3-9099-C40C66FF867C}">
                  <a14:compatExt spid="_x0000_s203787"/>
                </a:ext>
                <a:ext uri="{FF2B5EF4-FFF2-40B4-BE49-F238E27FC236}">
                  <a16:creationId xmlns:a16="http://schemas.microsoft.com/office/drawing/2014/main" id="{00000000-0008-0000-2500-00000B1C03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235</xdr:row>
          <xdr:rowOff>38100</xdr:rowOff>
        </xdr:from>
        <xdr:to>
          <xdr:col>4</xdr:col>
          <xdr:colOff>133350</xdr:colOff>
          <xdr:row>236</xdr:row>
          <xdr:rowOff>0</xdr:rowOff>
        </xdr:to>
        <xdr:sp macro="" textlink="">
          <xdr:nvSpPr>
            <xdr:cNvPr id="203788" name="Check Box 12" hidden="1">
              <a:extLst>
                <a:ext uri="{63B3BB69-23CF-44E3-9099-C40C66FF867C}">
                  <a14:compatExt spid="_x0000_s203788"/>
                </a:ext>
                <a:ext uri="{FF2B5EF4-FFF2-40B4-BE49-F238E27FC236}">
                  <a16:creationId xmlns:a16="http://schemas.microsoft.com/office/drawing/2014/main" id="{00000000-0008-0000-2500-00000C1C03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2</xdr:col>
      <xdr:colOff>8984</xdr:colOff>
      <xdr:row>0</xdr:row>
      <xdr:rowOff>125804</xdr:rowOff>
    </xdr:from>
    <xdr:to>
      <xdr:col>14</xdr:col>
      <xdr:colOff>17970</xdr:colOff>
      <xdr:row>10</xdr:row>
      <xdr:rowOff>8987</xdr:rowOff>
    </xdr:to>
    <xdr:sp macro="" textlink="">
      <xdr:nvSpPr>
        <xdr:cNvPr id="3" name="TextBox 2">
          <a:extLst>
            <a:ext uri="{FF2B5EF4-FFF2-40B4-BE49-F238E27FC236}">
              <a16:creationId xmlns:a16="http://schemas.microsoft.com/office/drawing/2014/main" id="{00000000-0008-0000-2500-000003000000}"/>
            </a:ext>
          </a:extLst>
        </xdr:cNvPr>
        <xdr:cNvSpPr txBox="1"/>
      </xdr:nvSpPr>
      <xdr:spPr>
        <a:xfrm>
          <a:off x="116814" y="125804"/>
          <a:ext cx="6964033" cy="121308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11B: 4% Tax Credit/Bond Program</a:t>
          </a:r>
          <a:r>
            <a:rPr lang="en-US" sz="1400" b="1" baseline="0"/>
            <a:t> Scoring</a:t>
          </a:r>
        </a:p>
        <a:p>
          <a:r>
            <a:rPr lang="en-US" sz="1100" b="1" baseline="0"/>
            <a:t>Instructions:</a:t>
          </a:r>
          <a:endParaRPr lang="en-US" sz="1100" b="1"/>
        </a:p>
        <a:p>
          <a:r>
            <a:rPr lang="en-US" sz="1100"/>
            <a:t>Please see Section 4 of the Multifamily Housing Bonds and 4% Tax Credit Policies for a </a:t>
          </a:r>
        </a:p>
        <a:p>
          <a:r>
            <a:rPr lang="en-US" sz="1100"/>
            <a:t>description of the following point options. </a:t>
          </a:r>
        </a:p>
        <a:p>
          <a:endParaRPr lang="en-US" sz="1100"/>
        </a:p>
        <a:p>
          <a:r>
            <a:rPr lang="en-US" sz="1100"/>
            <a:t>A minimum of 40 points must be selected from the options below in order to apply for the Tax Credit/Bond Program.</a:t>
          </a:r>
        </a:p>
        <a:p>
          <a:endParaRPr lang="en-US" sz="1100"/>
        </a:p>
        <a:p>
          <a:r>
            <a:rPr lang="en-US" sz="1100"/>
            <a:t>Policy references are provided in </a:t>
          </a:r>
          <a:r>
            <a:rPr lang="en-US" sz="1100">
              <a:solidFill>
                <a:schemeClr val="accent3">
                  <a:lumMod val="75000"/>
                </a:schemeClr>
              </a:solidFill>
            </a:rPr>
            <a:t>green</a:t>
          </a:r>
          <a:r>
            <a:rPr lang="en-US" sz="1100"/>
            <a:t> type</a:t>
          </a:r>
        </a:p>
      </xdr:txBody>
    </xdr:sp>
    <xdr:clientData/>
  </xdr:twoCellAnchor>
  <xdr:twoCellAnchor>
    <xdr:from>
      <xdr:col>11</xdr:col>
      <xdr:colOff>682925</xdr:colOff>
      <xdr:row>0</xdr:row>
      <xdr:rowOff>188702</xdr:rowOff>
    </xdr:from>
    <xdr:to>
      <xdr:col>13</xdr:col>
      <xdr:colOff>595522</xdr:colOff>
      <xdr:row>4</xdr:row>
      <xdr:rowOff>165638</xdr:rowOff>
    </xdr:to>
    <xdr:sp macro="" textlink="">
      <xdr:nvSpPr>
        <xdr:cNvPr id="16" name="TextBox 15">
          <a:hlinkClick xmlns:r="http://schemas.openxmlformats.org/officeDocument/2006/relationships" r:id="rId1"/>
          <a:extLst>
            <a:ext uri="{FF2B5EF4-FFF2-40B4-BE49-F238E27FC236}">
              <a16:creationId xmlns:a16="http://schemas.microsoft.com/office/drawing/2014/main" id="{00000000-0008-0000-2500-000010000000}"/>
            </a:ext>
          </a:extLst>
        </xdr:cNvPr>
        <xdr:cNvSpPr txBox="1"/>
      </xdr:nvSpPr>
      <xdr:spPr bwMode="auto">
        <a:xfrm>
          <a:off x="5310637" y="188702"/>
          <a:ext cx="1736725" cy="650875"/>
        </a:xfrm>
        <a:prstGeom prst="rect">
          <a:avLst/>
        </a:prstGeom>
        <a:solidFill>
          <a:schemeClr val="accent6">
            <a:lumMod val="20000"/>
            <a:lumOff val="80000"/>
          </a:schemeClr>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2019 Bond/Tax</a:t>
          </a:r>
          <a:r>
            <a:rPr lang="en-US" sz="1400" u="sng" baseline="0">
              <a:solidFill>
                <a:srgbClr val="0000FF"/>
              </a:solidFill>
            </a:rPr>
            <a:t> Credit Policies</a:t>
          </a:r>
          <a:endParaRPr lang="en-US" sz="1400" u="sng">
            <a:solidFill>
              <a:srgbClr val="0000FF"/>
            </a:solidFill>
          </a:endParaRPr>
        </a:p>
      </xdr:txBody>
    </xdr:sp>
    <xdr:clientData/>
  </xdr:twoCellAnchor>
  <xdr:twoCellAnchor>
    <xdr:from>
      <xdr:col>4</xdr:col>
      <xdr:colOff>170732</xdr:colOff>
      <xdr:row>155</xdr:row>
      <xdr:rowOff>80875</xdr:rowOff>
    </xdr:from>
    <xdr:to>
      <xdr:col>13</xdr:col>
      <xdr:colOff>44930</xdr:colOff>
      <xdr:row>156</xdr:row>
      <xdr:rowOff>1168161</xdr:rowOff>
    </xdr:to>
    <xdr:sp macro="" textlink="">
      <xdr:nvSpPr>
        <xdr:cNvPr id="4" name="TextBox 3">
          <a:extLst>
            <a:ext uri="{FF2B5EF4-FFF2-40B4-BE49-F238E27FC236}">
              <a16:creationId xmlns:a16="http://schemas.microsoft.com/office/drawing/2014/main" id="{00000000-0008-0000-2500-000004000000}"/>
            </a:ext>
          </a:extLst>
        </xdr:cNvPr>
        <xdr:cNvSpPr txBox="1"/>
      </xdr:nvSpPr>
      <xdr:spPr>
        <a:xfrm>
          <a:off x="646982" y="28655875"/>
          <a:ext cx="6065448" cy="1240045"/>
        </a:xfrm>
        <a:prstGeom prst="rect">
          <a:avLst/>
        </a:prstGeom>
        <a:solidFill>
          <a:srgbClr val="CCFFCC"/>
        </a:solidFill>
        <a:ln w="9525" cmpd="sng">
          <a:solidFill>
            <a:srgbClr val="08A8C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a:t>
          </a:r>
          <a:r>
            <a:rPr lang="en-US" sz="1100"/>
            <a:t>The project has one or more Federally Assisted Building(s);</a:t>
          </a:r>
        </a:p>
        <a:p>
          <a:r>
            <a:rPr lang="en-US" sz="1100" b="0" i="0">
              <a:solidFill>
                <a:schemeClr val="dk1"/>
              </a:solidFill>
              <a:effectLst/>
              <a:latin typeface="+mn-lt"/>
              <a:ea typeface="+mn-ea"/>
              <a:cs typeface="+mn-cs"/>
            </a:rPr>
            <a:t>• </a:t>
          </a:r>
          <a:r>
            <a:rPr lang="en-US" sz="1100"/>
            <a:t>The project does not currently have an Extended Use Agreement with the Commission;</a:t>
          </a:r>
        </a:p>
        <a:p>
          <a:r>
            <a:rPr lang="en-US" sz="1100" b="0" i="0">
              <a:solidFill>
                <a:schemeClr val="dk1"/>
              </a:solidFill>
              <a:effectLst/>
              <a:latin typeface="+mn-lt"/>
              <a:ea typeface="+mn-ea"/>
              <a:cs typeface="+mn-cs"/>
            </a:rPr>
            <a:t>• </a:t>
          </a:r>
          <a:r>
            <a:rPr lang="en-US" sz="1100"/>
            <a:t>At least 50% of the total Housing Units in the project are low-income;The Applicant agrees to </a:t>
          </a:r>
        </a:p>
        <a:p>
          <a:r>
            <a:rPr lang="en-US" sz="1100"/>
            <a:t>   maintain the low-income housing units included in the project;</a:t>
          </a:r>
        </a:p>
        <a:p>
          <a:r>
            <a:rPr lang="en-US" sz="1100" b="0" i="0">
              <a:solidFill>
                <a:schemeClr val="dk1"/>
              </a:solidFill>
              <a:effectLst/>
              <a:latin typeface="+mn-lt"/>
              <a:ea typeface="+mn-ea"/>
              <a:cs typeface="+mn-cs"/>
            </a:rPr>
            <a:t>• </a:t>
          </a:r>
          <a:r>
            <a:rPr lang="en-US" sz="1100"/>
            <a:t>The Fed agency regulating the low-income use certifies …use restrictions released in five years ...;</a:t>
          </a:r>
        </a:p>
        <a:p>
          <a:r>
            <a:rPr lang="en-US" sz="1100" b="0" i="0">
              <a:solidFill>
                <a:schemeClr val="dk1"/>
              </a:solidFill>
              <a:effectLst/>
              <a:latin typeface="+mn-lt"/>
              <a:ea typeface="+mn-ea"/>
              <a:cs typeface="+mn-cs"/>
            </a:rPr>
            <a:t>• </a:t>
          </a:r>
          <a:r>
            <a:rPr lang="en-US" sz="1100"/>
            <a:t>The market study clearly demonstrates that market rate rents are significantly greater than...</a:t>
          </a:r>
        </a:p>
      </xdr:txBody>
    </xdr:sp>
    <xdr:clientData/>
  </xdr:twoCellAnchor>
  <xdr:oneCellAnchor>
    <xdr:from>
      <xdr:col>2</xdr:col>
      <xdr:colOff>0</xdr:colOff>
      <xdr:row>12</xdr:row>
      <xdr:rowOff>0</xdr:rowOff>
    </xdr:from>
    <xdr:ext cx="7281888" cy="718466"/>
    <xdr:sp macro="" textlink="">
      <xdr:nvSpPr>
        <xdr:cNvPr id="18" name="Rectangle 17">
          <a:extLst>
            <a:ext uri="{FF2B5EF4-FFF2-40B4-BE49-F238E27FC236}">
              <a16:creationId xmlns:a16="http://schemas.microsoft.com/office/drawing/2014/main" id="{9666E114-11EB-459A-85CF-19371455B5EB}"/>
            </a:ext>
          </a:extLst>
        </xdr:cNvPr>
        <xdr:cNvSpPr/>
      </xdr:nvSpPr>
      <xdr:spPr>
        <a:xfrm rot="20441230">
          <a:off x="215660" y="2021816"/>
          <a:ext cx="7281888" cy="718466"/>
        </a:xfrm>
        <a:prstGeom prst="rect">
          <a:avLst/>
        </a:prstGeom>
        <a:solidFill>
          <a:srgbClr val="F79646">
            <a:lumMod val="60000"/>
            <a:lumOff val="40000"/>
          </a:srgbClr>
        </a:solid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000" b="1" i="0" u="none" strike="noStrike" kern="0" cap="none" spc="0" normalizeH="0" baseline="0" noProof="0">
              <a:ln w="10541" cmpd="sng">
                <a:solidFill>
                  <a:srgbClr val="7D7D7D">
                    <a:tint val="100000"/>
                    <a:shade val="100000"/>
                    <a:satMod val="110000"/>
                  </a:srgbClr>
                </a:solidFill>
                <a:prstDash val="solid"/>
              </a:ln>
              <a:solidFill>
                <a:sysClr val="windowText" lastClr="000000">
                  <a:lumMod val="65000"/>
                  <a:lumOff val="35000"/>
                </a:sysClr>
              </a:solidFill>
              <a:effectLst/>
              <a:uLnTx/>
              <a:uFillTx/>
            </a:rPr>
            <a:t>N/A for 2020 LIHTC round</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N21" totalsRowShown="0" headerRowDxfId="161" dataDxfId="159" headerRowBorderDxfId="160" tableBorderDxfId="158">
  <tableColumns count="12">
    <tableColumn id="1" xr3:uid="{00000000-0010-0000-0000-000001000000}" name="Building ID#/Name" dataDxfId="157"/>
    <tableColumn id="2" xr3:uid="{00000000-0010-0000-0000-000002000000}" name="Building Address _x000a_(Street)" dataDxfId="156"/>
    <tableColumn id="3" xr3:uid="{00000000-0010-0000-0000-000003000000}" name="Building Address_x000a_(City)" dataDxfId="155"/>
    <tableColumn id="4" xr3:uid="{00000000-0010-0000-0000-000004000000}" name="Building Type" dataDxfId="154"/>
    <tableColumn id="5" xr3:uid="{00000000-0010-0000-0000-000005000000}" name="Building Activity" dataDxfId="153"/>
    <tableColumn id="6" xr3:uid="{00000000-0010-0000-0000-000006000000}" name="Transitional Housing for the Homeless?" dataDxfId="152"/>
    <tableColumn id="7" xr3:uid="{00000000-0010-0000-0000-000007000000}" name="Low-Income Units" dataDxfId="151"/>
    <tableColumn id="8" xr3:uid="{00000000-0010-0000-0000-000008000000}" name="Market Rate Units" dataDxfId="150"/>
    <tableColumn id="9" xr3:uid="{00000000-0010-0000-0000-000009000000}" name="Common Area Units" dataDxfId="149"/>
    <tableColumn id="10" xr3:uid="{00000000-0010-0000-0000-00000A000000}" name="TOTAL UNITS" dataDxfId="148">
      <calculatedColumnFormula>SUM(I8:K8)</calculatedColumnFormula>
    </tableColumn>
    <tableColumn id="11" xr3:uid="{00000000-0010-0000-0000-00000B000000}" name="Year building received original Certificate of Occupancy" dataDxfId="147"/>
    <tableColumn id="12" xr3:uid="{00000000-0010-0000-0000-00000C000000}" name="Expected Placed-In-Service Date (MM/DD/YYYY)" dataDxfId="146"/>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20:O33" headerRowCount="0" totalsRowShown="0" headerRowDxfId="141" dataDxfId="139" headerRowBorderDxfId="140" tableBorderDxfId="138">
  <tableColumns count="13">
    <tableColumn id="1" xr3:uid="{00000000-0010-0000-0100-000001000000}" name="Building # " headerRowDxfId="137" dataDxfId="136"/>
    <tableColumn id="2" xr3:uid="{00000000-0010-0000-0100-000002000000}" name="# of Floors" headerRowDxfId="135" dataDxfId="134"/>
    <tableColumn id="3" xr3:uid="{00000000-0010-0000-0100-000003000000}" name=" Low-Income Units" headerRowDxfId="133" dataDxfId="132"/>
    <tableColumn id="4" xr3:uid="{00000000-0010-0000-0100-000004000000}" name="Common Area/ Manager Units" headerRowDxfId="131" dataDxfId="130"/>
    <tableColumn id="5" xr3:uid="{00000000-0010-0000-0100-000005000000}" name="Market Rate Units" headerRowDxfId="129" dataDxfId="128"/>
    <tableColumn id="6" xr3:uid="{00000000-0010-0000-0100-000006000000}" name="Common Area for Residential Services" headerRowDxfId="127" dataDxfId="126"/>
    <tableColumn id="7" xr3:uid="{00000000-0010-0000-0100-000007000000}" name="Other Common Area" headerRowDxfId="125" dataDxfId="124"/>
    <tableColumn id="8" xr3:uid="{00000000-0010-0000-0100-000008000000}" name="Structured Residential Parking" headerRowDxfId="123" dataDxfId="122"/>
    <tableColumn id="9" xr3:uid="{00000000-0010-0000-0100-000009000000}" name="Total Residential Gross Square Footage" headerRowDxfId="121" dataDxfId="120">
      <calculatedColumnFormula>SUM(E21:J21)</calculatedColumnFormula>
    </tableColumn>
    <tableColumn id="10" xr3:uid="{00000000-0010-0000-0100-00000A000000}" name="." headerRowDxfId="119" dataDxfId="118"/>
    <tableColumn id="11" xr3:uid="{00000000-0010-0000-0100-00000B000000}" name="# of floors2" headerRowDxfId="117" dataDxfId="116"/>
    <tableColumn id="12" xr3:uid="{00000000-0010-0000-0100-00000C000000}" name="Gross Square Footage" headerRowDxfId="115" dataDxfId="114"/>
    <tableColumn id="13" xr3:uid="{00000000-0010-0000-0100-00000D000000}" name="Total Gross Square Footage" headerRowDxfId="113" dataDxfId="112">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C20:G39" totalsRowShown="0" headerRowDxfId="91" dataDxfId="89" headerRowBorderDxfId="90" tableBorderDxfId="88">
  <tableColumns count="5">
    <tableColumn id="1" xr3:uid="{00000000-0010-0000-0200-000001000000}" name="Population Type" dataDxfId="87"/>
    <tableColumn id="2" xr3:uid="{00000000-0010-0000-0200-000002000000}" name="Homeless at Entry?" dataDxfId="86"/>
    <tableColumn id="3" xr3:uid="{00000000-0010-0000-0200-000003000000}" name="Residency Type" dataDxfId="85"/>
    <tableColumn id="4" xr3:uid="{00000000-0010-0000-0200-000004000000}" name="Unit _x000a_or Bed" dataDxfId="84"/>
    <tableColumn id="5" xr3:uid="{00000000-0010-0000-0200-000005000000}" name="Qty." dataDxfId="83"/>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omments" Target="../comments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9.bin"/><Relationship Id="rId4" Type="http://schemas.openxmlformats.org/officeDocument/2006/relationships/comments" Target="../comments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30.bin"/><Relationship Id="rId4" Type="http://schemas.openxmlformats.org/officeDocument/2006/relationships/comments" Target="../comments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1.bin"/><Relationship Id="rId4" Type="http://schemas.openxmlformats.org/officeDocument/2006/relationships/comments" Target="../comments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4.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7.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5.xml"/><Relationship Id="rId1" Type="http://schemas.openxmlformats.org/officeDocument/2006/relationships/printerSettings" Target="../printerSettings/printerSettings3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H179"/>
  <sheetViews>
    <sheetView topLeftCell="A148" workbookViewId="0">
      <selection activeCell="B163" sqref="B163"/>
    </sheetView>
  </sheetViews>
  <sheetFormatPr defaultColWidth="9.140625" defaultRowHeight="15" x14ac:dyDescent="0.25"/>
  <cols>
    <col min="1" max="1" width="17.42578125" style="1970" bestFit="1" customWidth="1"/>
    <col min="2" max="2" width="42.42578125" style="1970" bestFit="1" customWidth="1"/>
    <col min="3" max="3" width="9.140625" style="1970"/>
    <col min="4" max="4" width="19.5703125" style="1970" bestFit="1" customWidth="1"/>
    <col min="5" max="5" width="25.28515625" style="1970" bestFit="1" customWidth="1"/>
    <col min="6" max="6" width="9.140625" style="1970"/>
    <col min="7" max="7" width="16.5703125" style="1970" bestFit="1" customWidth="1"/>
    <col min="8" max="8" width="10.7109375" style="1970" bestFit="1" customWidth="1"/>
    <col min="9" max="16384" width="9.140625" style="1970"/>
  </cols>
  <sheetData>
    <row r="3" spans="1:2" x14ac:dyDescent="0.25">
      <c r="A3" s="355" t="s">
        <v>531</v>
      </c>
      <c r="B3" s="774" t="s">
        <v>541</v>
      </c>
    </row>
    <row r="4" spans="1:2" x14ac:dyDescent="0.25">
      <c r="B4" s="775" t="s">
        <v>517</v>
      </c>
    </row>
    <row r="5" spans="1:2" x14ac:dyDescent="0.25">
      <c r="B5" s="775" t="s">
        <v>518</v>
      </c>
    </row>
    <row r="6" spans="1:2" x14ac:dyDescent="0.25">
      <c r="B6" s="775" t="s">
        <v>555</v>
      </c>
    </row>
    <row r="7" spans="1:2" x14ac:dyDescent="0.25">
      <c r="B7" s="775" t="s">
        <v>519</v>
      </c>
    </row>
    <row r="8" spans="1:2" x14ac:dyDescent="0.25">
      <c r="B8" s="775" t="s">
        <v>520</v>
      </c>
    </row>
    <row r="9" spans="1:2" x14ac:dyDescent="0.25">
      <c r="B9" s="775" t="s">
        <v>521</v>
      </c>
    </row>
    <row r="10" spans="1:2" x14ac:dyDescent="0.25">
      <c r="B10" s="775" t="s">
        <v>522</v>
      </c>
    </row>
    <row r="11" spans="1:2" x14ac:dyDescent="0.25">
      <c r="B11" s="775" t="s">
        <v>523</v>
      </c>
    </row>
    <row r="12" spans="1:2" x14ac:dyDescent="0.25">
      <c r="B12" s="775" t="s">
        <v>546</v>
      </c>
    </row>
    <row r="13" spans="1:2" x14ac:dyDescent="0.25">
      <c r="B13" s="775" t="s">
        <v>524</v>
      </c>
    </row>
    <row r="14" spans="1:2" x14ac:dyDescent="0.25">
      <c r="B14" s="775" t="s">
        <v>525</v>
      </c>
    </row>
    <row r="15" spans="1:2" x14ac:dyDescent="0.25">
      <c r="B15" s="775" t="s">
        <v>526</v>
      </c>
    </row>
    <row r="16" spans="1:2" x14ac:dyDescent="0.25">
      <c r="B16" s="775" t="s">
        <v>527</v>
      </c>
    </row>
    <row r="17" spans="1:2" x14ac:dyDescent="0.25">
      <c r="B17" s="775" t="s">
        <v>528</v>
      </c>
    </row>
    <row r="18" spans="1:2" x14ac:dyDescent="0.25">
      <c r="B18" s="775" t="s">
        <v>529</v>
      </c>
    </row>
    <row r="19" spans="1:2" x14ac:dyDescent="0.25">
      <c r="B19" s="775" t="s">
        <v>530</v>
      </c>
    </row>
    <row r="20" spans="1:2" x14ac:dyDescent="0.25">
      <c r="B20" s="775" t="s">
        <v>502</v>
      </c>
    </row>
    <row r="21" spans="1:2" x14ac:dyDescent="0.25">
      <c r="B21" s="775" t="s">
        <v>556</v>
      </c>
    </row>
    <row r="22" spans="1:2" x14ac:dyDescent="0.25">
      <c r="B22" s="776" t="s">
        <v>557</v>
      </c>
    </row>
    <row r="26" spans="1:2" x14ac:dyDescent="0.25">
      <c r="A26" s="1970" t="s">
        <v>558</v>
      </c>
      <c r="B26" s="337" t="s">
        <v>541</v>
      </c>
    </row>
    <row r="27" spans="1:2" x14ac:dyDescent="0.25">
      <c r="B27" s="778" t="s">
        <v>559</v>
      </c>
    </row>
    <row r="28" spans="1:2" x14ac:dyDescent="0.25">
      <c r="B28" s="777" t="s">
        <v>560</v>
      </c>
    </row>
    <row r="30" spans="1:2" x14ac:dyDescent="0.25">
      <c r="A30" s="1970" t="s">
        <v>1122</v>
      </c>
      <c r="B30" s="774" t="s">
        <v>541</v>
      </c>
    </row>
    <row r="31" spans="1:2" x14ac:dyDescent="0.25">
      <c r="B31" s="781" t="s">
        <v>559</v>
      </c>
    </row>
    <row r="32" spans="1:2" x14ac:dyDescent="0.25">
      <c r="B32" s="781" t="s">
        <v>560</v>
      </c>
    </row>
    <row r="33" spans="1:2" x14ac:dyDescent="0.25">
      <c r="B33" s="1023" t="s">
        <v>1123</v>
      </c>
    </row>
    <row r="35" spans="1:2" x14ac:dyDescent="0.25">
      <c r="A35" s="1970" t="s">
        <v>1137</v>
      </c>
      <c r="B35" s="774" t="s">
        <v>541</v>
      </c>
    </row>
    <row r="36" spans="1:2" x14ac:dyDescent="0.25">
      <c r="B36" s="781" t="s">
        <v>559</v>
      </c>
    </row>
    <row r="37" spans="1:2" x14ac:dyDescent="0.25">
      <c r="B37" s="781" t="s">
        <v>560</v>
      </c>
    </row>
    <row r="38" spans="1:2" x14ac:dyDescent="0.25">
      <c r="B38" s="1023" t="s">
        <v>1136</v>
      </c>
    </row>
    <row r="40" spans="1:2" x14ac:dyDescent="0.25">
      <c r="A40" s="1970" t="s">
        <v>561</v>
      </c>
      <c r="B40" s="337" t="s">
        <v>541</v>
      </c>
    </row>
    <row r="41" spans="1:2" x14ac:dyDescent="0.25">
      <c r="B41" s="778" t="s">
        <v>562</v>
      </c>
    </row>
    <row r="42" spans="1:2" x14ac:dyDescent="0.25">
      <c r="B42" s="778" t="s">
        <v>563</v>
      </c>
    </row>
    <row r="43" spans="1:2" x14ac:dyDescent="0.25">
      <c r="B43" s="778" t="s">
        <v>564</v>
      </c>
    </row>
    <row r="44" spans="1:2" x14ac:dyDescent="0.25">
      <c r="B44" s="777" t="s">
        <v>565</v>
      </c>
    </row>
    <row r="46" spans="1:2" x14ac:dyDescent="0.25">
      <c r="A46" s="1970" t="s">
        <v>566</v>
      </c>
      <c r="B46" s="337" t="s">
        <v>541</v>
      </c>
    </row>
    <row r="47" spans="1:2" x14ac:dyDescent="0.25">
      <c r="B47" s="778" t="s">
        <v>567</v>
      </c>
    </row>
    <row r="48" spans="1:2" x14ac:dyDescent="0.25">
      <c r="B48" s="777" t="s">
        <v>37</v>
      </c>
    </row>
    <row r="51" spans="1:8" x14ac:dyDescent="0.25">
      <c r="A51" s="1970" t="s">
        <v>568</v>
      </c>
      <c r="B51" s="337" t="s">
        <v>554</v>
      </c>
      <c r="D51" s="1970" t="s">
        <v>1422</v>
      </c>
      <c r="E51" s="337" t="s">
        <v>541</v>
      </c>
      <c r="G51" s="1970" t="s">
        <v>1429</v>
      </c>
      <c r="H51" s="1970" t="s">
        <v>1430</v>
      </c>
    </row>
    <row r="52" spans="1:8" x14ac:dyDescent="0.25">
      <c r="B52" s="778" t="s">
        <v>534</v>
      </c>
      <c r="E52" s="778" t="s">
        <v>534</v>
      </c>
      <c r="G52" s="1724" t="s">
        <v>1423</v>
      </c>
      <c r="H52" s="1724" t="s">
        <v>1428</v>
      </c>
    </row>
    <row r="53" spans="1:8" x14ac:dyDescent="0.25">
      <c r="B53" s="778" t="s">
        <v>551</v>
      </c>
      <c r="E53" s="777" t="s">
        <v>551</v>
      </c>
      <c r="G53" s="1724" t="s">
        <v>1424</v>
      </c>
      <c r="H53" s="1724" t="s">
        <v>1425</v>
      </c>
    </row>
    <row r="54" spans="1:8" x14ac:dyDescent="0.25">
      <c r="B54" s="777" t="s">
        <v>1421</v>
      </c>
      <c r="G54" s="1724"/>
      <c r="H54" s="1724" t="s">
        <v>652</v>
      </c>
    </row>
    <row r="55" spans="1:8" x14ac:dyDescent="0.25">
      <c r="H55" s="1724" t="s">
        <v>1426</v>
      </c>
    </row>
    <row r="56" spans="1:8" x14ac:dyDescent="0.25">
      <c r="A56" s="1970" t="s">
        <v>1437</v>
      </c>
      <c r="B56" s="774" t="s">
        <v>541</v>
      </c>
      <c r="H56" s="1724" t="s">
        <v>1427</v>
      </c>
    </row>
    <row r="57" spans="1:8" x14ac:dyDescent="0.25">
      <c r="B57" s="781" t="s">
        <v>1435</v>
      </c>
      <c r="H57" s="1724"/>
    </row>
    <row r="58" spans="1:8" x14ac:dyDescent="0.25">
      <c r="B58" s="1023" t="s">
        <v>1436</v>
      </c>
      <c r="H58" s="1724"/>
    </row>
    <row r="59" spans="1:8" x14ac:dyDescent="0.25">
      <c r="H59" s="1724"/>
    </row>
    <row r="60" spans="1:8" x14ac:dyDescent="0.25">
      <c r="A60" s="1970" t="s">
        <v>569</v>
      </c>
      <c r="B60" s="337" t="s">
        <v>541</v>
      </c>
    </row>
    <row r="61" spans="1:8" x14ac:dyDescent="0.25">
      <c r="B61" s="778" t="s">
        <v>570</v>
      </c>
    </row>
    <row r="62" spans="1:8" x14ac:dyDescent="0.25">
      <c r="B62" s="777" t="s">
        <v>571</v>
      </c>
    </row>
    <row r="65" spans="1:5" x14ac:dyDescent="0.25">
      <c r="A65" s="1970" t="s">
        <v>37</v>
      </c>
      <c r="B65" s="337"/>
    </row>
    <row r="66" spans="1:5" x14ac:dyDescent="0.25">
      <c r="B66" s="777" t="s">
        <v>548</v>
      </c>
    </row>
    <row r="68" spans="1:5" x14ac:dyDescent="0.25">
      <c r="A68" s="1970" t="s">
        <v>567</v>
      </c>
      <c r="B68" s="337" t="s">
        <v>541</v>
      </c>
      <c r="D68" s="1970" t="s">
        <v>1451</v>
      </c>
      <c r="E68" s="337" t="s">
        <v>541</v>
      </c>
    </row>
    <row r="69" spans="1:5" x14ac:dyDescent="0.25">
      <c r="B69" s="778" t="s">
        <v>39</v>
      </c>
      <c r="E69" s="778" t="s">
        <v>39</v>
      </c>
    </row>
    <row r="70" spans="1:5" x14ac:dyDescent="0.25">
      <c r="B70" s="778" t="s">
        <v>38</v>
      </c>
      <c r="E70" s="778" t="s">
        <v>38</v>
      </c>
    </row>
    <row r="71" spans="1:5" x14ac:dyDescent="0.25">
      <c r="B71" s="778" t="s">
        <v>572</v>
      </c>
      <c r="E71" s="778" t="s">
        <v>572</v>
      </c>
    </row>
    <row r="72" spans="1:5" x14ac:dyDescent="0.25">
      <c r="B72" s="778" t="s">
        <v>573</v>
      </c>
      <c r="E72" s="778" t="s">
        <v>573</v>
      </c>
    </row>
    <row r="73" spans="1:5" x14ac:dyDescent="0.25">
      <c r="B73" s="778" t="s">
        <v>574</v>
      </c>
      <c r="E73" s="778" t="s">
        <v>574</v>
      </c>
    </row>
    <row r="74" spans="1:5" x14ac:dyDescent="0.25">
      <c r="B74" s="778" t="s">
        <v>575</v>
      </c>
      <c r="E74" s="778" t="s">
        <v>575</v>
      </c>
    </row>
    <row r="75" spans="1:5" x14ac:dyDescent="0.25">
      <c r="B75" s="777" t="s">
        <v>576</v>
      </c>
      <c r="E75" s="1023" t="s">
        <v>234</v>
      </c>
    </row>
    <row r="77" spans="1:5" x14ac:dyDescent="0.25">
      <c r="A77" s="1970" t="s">
        <v>598</v>
      </c>
      <c r="B77" s="337" t="s">
        <v>541</v>
      </c>
    </row>
    <row r="78" spans="1:5" x14ac:dyDescent="0.25">
      <c r="B78" s="781" t="s">
        <v>37</v>
      </c>
    </row>
    <row r="79" spans="1:5" x14ac:dyDescent="0.25">
      <c r="B79" s="781" t="s">
        <v>38</v>
      </c>
    </row>
    <row r="80" spans="1:5" x14ac:dyDescent="0.25">
      <c r="B80" s="778" t="s">
        <v>39</v>
      </c>
    </row>
    <row r="81" spans="1:2" x14ac:dyDescent="0.25">
      <c r="B81" s="778" t="s">
        <v>572</v>
      </c>
    </row>
    <row r="82" spans="1:2" x14ac:dyDescent="0.25">
      <c r="B82" s="778" t="s">
        <v>573</v>
      </c>
    </row>
    <row r="83" spans="1:2" x14ac:dyDescent="0.25">
      <c r="B83" s="778" t="s">
        <v>574</v>
      </c>
    </row>
    <row r="84" spans="1:2" x14ac:dyDescent="0.25">
      <c r="B84" s="778" t="s">
        <v>575</v>
      </c>
    </row>
    <row r="85" spans="1:2" x14ac:dyDescent="0.25">
      <c r="B85" s="777" t="s">
        <v>576</v>
      </c>
    </row>
    <row r="87" spans="1:2" x14ac:dyDescent="0.25">
      <c r="A87" s="1970" t="s">
        <v>599</v>
      </c>
      <c r="B87" s="337" t="s">
        <v>541</v>
      </c>
    </row>
    <row r="88" spans="1:2" x14ac:dyDescent="0.25">
      <c r="B88" s="778" t="s">
        <v>336</v>
      </c>
    </row>
    <row r="89" spans="1:2" x14ac:dyDescent="0.25">
      <c r="B89" s="777" t="s">
        <v>600</v>
      </c>
    </row>
    <row r="92" spans="1:2" x14ac:dyDescent="0.25">
      <c r="A92" s="1970" t="s">
        <v>577</v>
      </c>
      <c r="B92" s="337" t="s">
        <v>541</v>
      </c>
    </row>
    <row r="93" spans="1:2" x14ac:dyDescent="0.25">
      <c r="B93" s="779">
        <v>0.25</v>
      </c>
    </row>
    <row r="94" spans="1:2" x14ac:dyDescent="0.25">
      <c r="B94" s="779">
        <v>0.3</v>
      </c>
    </row>
    <row r="95" spans="1:2" x14ac:dyDescent="0.25">
      <c r="B95" s="779">
        <v>0.35</v>
      </c>
    </row>
    <row r="96" spans="1:2" x14ac:dyDescent="0.25">
      <c r="B96" s="779">
        <v>0.4</v>
      </c>
    </row>
    <row r="97" spans="1:2" x14ac:dyDescent="0.25">
      <c r="B97" s="779">
        <v>0.45</v>
      </c>
    </row>
    <row r="98" spans="1:2" x14ac:dyDescent="0.25">
      <c r="B98" s="779">
        <v>0.5</v>
      </c>
    </row>
    <row r="99" spans="1:2" x14ac:dyDescent="0.25">
      <c r="B99" s="779">
        <v>0.55000000000000004</v>
      </c>
    </row>
    <row r="100" spans="1:2" x14ac:dyDescent="0.25">
      <c r="B100" s="779">
        <v>0.6</v>
      </c>
    </row>
    <row r="101" spans="1:2" x14ac:dyDescent="0.25">
      <c r="B101" s="779">
        <v>0.65</v>
      </c>
    </row>
    <row r="102" spans="1:2" x14ac:dyDescent="0.25">
      <c r="B102" s="780">
        <v>0.8</v>
      </c>
    </row>
    <row r="105" spans="1:2" x14ac:dyDescent="0.25">
      <c r="A105" s="1970" t="s">
        <v>578</v>
      </c>
      <c r="B105" s="337" t="s">
        <v>541</v>
      </c>
    </row>
    <row r="106" spans="1:2" x14ac:dyDescent="0.25">
      <c r="B106" s="778" t="s">
        <v>579</v>
      </c>
    </row>
    <row r="107" spans="1:2" x14ac:dyDescent="0.25">
      <c r="B107" s="777" t="s">
        <v>580</v>
      </c>
    </row>
    <row r="110" spans="1:2" x14ac:dyDescent="0.25">
      <c r="A110" s="1970" t="s">
        <v>582</v>
      </c>
      <c r="B110" s="1228" t="s">
        <v>581</v>
      </c>
    </row>
    <row r="116" spans="1:2" x14ac:dyDescent="0.25">
      <c r="A116" s="1970" t="s">
        <v>591</v>
      </c>
      <c r="B116" s="337" t="s">
        <v>541</v>
      </c>
    </row>
    <row r="117" spans="1:2" x14ac:dyDescent="0.25">
      <c r="B117" s="778" t="s">
        <v>590</v>
      </c>
    </row>
    <row r="118" spans="1:2" x14ac:dyDescent="0.25">
      <c r="B118" s="778" t="s">
        <v>584</v>
      </c>
    </row>
    <row r="119" spans="1:2" x14ac:dyDescent="0.25">
      <c r="B119" s="778" t="s">
        <v>585</v>
      </c>
    </row>
    <row r="120" spans="1:2" x14ac:dyDescent="0.25">
      <c r="B120" s="778" t="s">
        <v>586</v>
      </c>
    </row>
    <row r="121" spans="1:2" x14ac:dyDescent="0.25">
      <c r="B121" s="778" t="s">
        <v>587</v>
      </c>
    </row>
    <row r="122" spans="1:2" x14ac:dyDescent="0.25">
      <c r="B122" s="778" t="s">
        <v>588</v>
      </c>
    </row>
    <row r="123" spans="1:2" x14ac:dyDescent="0.25">
      <c r="B123" s="778" t="s">
        <v>589</v>
      </c>
    </row>
    <row r="124" spans="1:2" x14ac:dyDescent="0.25">
      <c r="B124" s="777" t="s">
        <v>583</v>
      </c>
    </row>
    <row r="127" spans="1:2" x14ac:dyDescent="0.25">
      <c r="A127" s="1970" t="s">
        <v>592</v>
      </c>
      <c r="B127" s="774" t="s">
        <v>541</v>
      </c>
    </row>
    <row r="128" spans="1:2" x14ac:dyDescent="0.25">
      <c r="B128" s="778" t="s">
        <v>28</v>
      </c>
    </row>
    <row r="129" spans="1:2" x14ac:dyDescent="0.25">
      <c r="B129" s="778" t="s">
        <v>25</v>
      </c>
    </row>
    <row r="130" spans="1:2" x14ac:dyDescent="0.25">
      <c r="B130" s="777" t="s">
        <v>22</v>
      </c>
    </row>
    <row r="132" spans="1:2" x14ac:dyDescent="0.25">
      <c r="A132" s="1970" t="s">
        <v>603</v>
      </c>
      <c r="B132" s="774" t="s">
        <v>541</v>
      </c>
    </row>
    <row r="133" spans="1:2" x14ac:dyDescent="0.25">
      <c r="B133" s="781" t="s">
        <v>604</v>
      </c>
    </row>
    <row r="134" spans="1:2" x14ac:dyDescent="0.25">
      <c r="B134" s="781" t="s">
        <v>605</v>
      </c>
    </row>
    <row r="135" spans="1:2" x14ac:dyDescent="0.25">
      <c r="B135" s="781" t="s">
        <v>606</v>
      </c>
    </row>
    <row r="136" spans="1:2" x14ac:dyDescent="0.25">
      <c r="B136" s="781" t="s">
        <v>607</v>
      </c>
    </row>
    <row r="137" spans="1:2" x14ac:dyDescent="0.25">
      <c r="B137" s="1004"/>
    </row>
    <row r="138" spans="1:2" x14ac:dyDescent="0.25">
      <c r="A138" s="1970" t="s">
        <v>610</v>
      </c>
      <c r="B138" s="774" t="s">
        <v>554</v>
      </c>
    </row>
    <row r="139" spans="1:2" x14ac:dyDescent="0.25">
      <c r="B139" s="778" t="s">
        <v>611</v>
      </c>
    </row>
    <row r="140" spans="1:2" x14ac:dyDescent="0.25">
      <c r="B140" s="777" t="s">
        <v>612</v>
      </c>
    </row>
    <row r="142" spans="1:2" x14ac:dyDescent="0.25">
      <c r="A142" s="1970" t="s">
        <v>613</v>
      </c>
      <c r="B142" s="774" t="s">
        <v>541</v>
      </c>
    </row>
    <row r="143" spans="1:2" x14ac:dyDescent="0.25">
      <c r="B143" s="781" t="s">
        <v>614</v>
      </c>
    </row>
    <row r="144" spans="1:2" x14ac:dyDescent="0.25">
      <c r="B144" s="781" t="s">
        <v>615</v>
      </c>
    </row>
    <row r="145" spans="1:5" x14ac:dyDescent="0.25">
      <c r="B145" s="1023" t="s">
        <v>616</v>
      </c>
    </row>
    <row r="147" spans="1:5" x14ac:dyDescent="0.25">
      <c r="A147" s="1970" t="s">
        <v>620</v>
      </c>
      <c r="B147" s="1225" t="s">
        <v>541</v>
      </c>
    </row>
    <row r="148" spans="1:5" x14ac:dyDescent="0.25">
      <c r="B148" s="1226" t="s">
        <v>621</v>
      </c>
    </row>
    <row r="149" spans="1:5" x14ac:dyDescent="0.25">
      <c r="B149" s="1226" t="s">
        <v>619</v>
      </c>
    </row>
    <row r="150" spans="1:5" x14ac:dyDescent="0.25">
      <c r="B150" s="1226" t="s">
        <v>622</v>
      </c>
    </row>
    <row r="151" spans="1:5" x14ac:dyDescent="0.25">
      <c r="B151" s="1227" t="s">
        <v>623</v>
      </c>
    </row>
    <row r="153" spans="1:5" x14ac:dyDescent="0.25">
      <c r="A153" s="1970" t="s">
        <v>631</v>
      </c>
      <c r="B153" s="774" t="s">
        <v>541</v>
      </c>
      <c r="D153" s="1970" t="s">
        <v>675</v>
      </c>
      <c r="E153" s="774" t="s">
        <v>541</v>
      </c>
    </row>
    <row r="154" spans="1:5" x14ac:dyDescent="0.25">
      <c r="B154" s="1031" t="s">
        <v>629</v>
      </c>
      <c r="E154" s="1031" t="s">
        <v>629</v>
      </c>
    </row>
    <row r="155" spans="1:5" x14ac:dyDescent="0.25">
      <c r="B155" s="1031" t="s">
        <v>626</v>
      </c>
      <c r="E155" s="1031" t="s">
        <v>626</v>
      </c>
    </row>
    <row r="156" spans="1:5" x14ac:dyDescent="0.25">
      <c r="B156" s="1031" t="s">
        <v>627</v>
      </c>
      <c r="E156" s="1031" t="s">
        <v>627</v>
      </c>
    </row>
    <row r="157" spans="1:5" x14ac:dyDescent="0.25">
      <c r="B157" s="1031" t="s">
        <v>646</v>
      </c>
      <c r="E157" s="1031" t="s">
        <v>646</v>
      </c>
    </row>
    <row r="158" spans="1:5" x14ac:dyDescent="0.25">
      <c r="B158" s="1031" t="s">
        <v>624</v>
      </c>
      <c r="E158" s="1031" t="s">
        <v>624</v>
      </c>
    </row>
    <row r="159" spans="1:5" x14ac:dyDescent="0.25">
      <c r="B159" s="1031" t="s">
        <v>1805</v>
      </c>
      <c r="E159" s="1031" t="s">
        <v>1805</v>
      </c>
    </row>
    <row r="160" spans="1:5" x14ac:dyDescent="0.25">
      <c r="B160" s="1031" t="s">
        <v>571</v>
      </c>
      <c r="E160" s="1031" t="s">
        <v>571</v>
      </c>
    </row>
    <row r="161" spans="1:5" x14ac:dyDescent="0.25">
      <c r="B161" s="1031" t="s">
        <v>630</v>
      </c>
      <c r="E161" s="1031" t="s">
        <v>630</v>
      </c>
    </row>
    <row r="162" spans="1:5" x14ac:dyDescent="0.25">
      <c r="B162" s="1031" t="s">
        <v>628</v>
      </c>
      <c r="E162" s="1031" t="s">
        <v>628</v>
      </c>
    </row>
    <row r="163" spans="1:5" x14ac:dyDescent="0.25">
      <c r="B163" s="1031" t="s">
        <v>1124</v>
      </c>
      <c r="E163" s="1031" t="s">
        <v>625</v>
      </c>
    </row>
    <row r="164" spans="1:5" x14ac:dyDescent="0.25">
      <c r="B164" s="1031" t="s">
        <v>1125</v>
      </c>
      <c r="E164" s="1031" t="s">
        <v>1806</v>
      </c>
    </row>
    <row r="165" spans="1:5" x14ac:dyDescent="0.25">
      <c r="B165" s="1031" t="s">
        <v>1763</v>
      </c>
      <c r="E165" s="1031" t="s">
        <v>1807</v>
      </c>
    </row>
    <row r="166" spans="1:5" x14ac:dyDescent="0.25">
      <c r="B166" s="1031" t="s">
        <v>1764</v>
      </c>
      <c r="E166" s="1081" t="s">
        <v>647</v>
      </c>
    </row>
    <row r="167" spans="1:5" x14ac:dyDescent="0.25">
      <c r="B167" s="1031" t="s">
        <v>1765</v>
      </c>
      <c r="E167" s="1229" t="s">
        <v>234</v>
      </c>
    </row>
    <row r="168" spans="1:5" x14ac:dyDescent="0.25">
      <c r="B168" s="1081" t="s">
        <v>647</v>
      </c>
    </row>
    <row r="169" spans="1:5" x14ac:dyDescent="0.25">
      <c r="B169" s="1229" t="s">
        <v>234</v>
      </c>
    </row>
    <row r="172" spans="1:5" x14ac:dyDescent="0.25">
      <c r="A172" s="1970" t="s">
        <v>637</v>
      </c>
      <c r="B172" s="337" t="s">
        <v>541</v>
      </c>
    </row>
    <row r="173" spans="1:5" x14ac:dyDescent="0.25">
      <c r="B173" s="778" t="s">
        <v>635</v>
      </c>
    </row>
    <row r="174" spans="1:5" x14ac:dyDescent="0.25">
      <c r="B174" s="777" t="s">
        <v>636</v>
      </c>
    </row>
    <row r="177" spans="1:2" x14ac:dyDescent="0.25">
      <c r="A177" s="1970" t="s">
        <v>1455</v>
      </c>
      <c r="B177" s="774" t="s">
        <v>541</v>
      </c>
    </row>
    <row r="178" spans="1:2" x14ac:dyDescent="0.25">
      <c r="B178" s="781" t="s">
        <v>1454</v>
      </c>
    </row>
    <row r="179" spans="1:2" x14ac:dyDescent="0.25">
      <c r="B179" s="1023" t="s">
        <v>1456</v>
      </c>
    </row>
  </sheetData>
  <sheetProtection algorithmName="SHA-512" hashValue="hCYUYCi8RBHdcaMx0gWWOY2n8yI68UVTTyRRkYmV0kLVvwCcq9FpaRywyP9sW5B36cxyLowf5eMJNd+JSlOU6g==" saltValue="mqI7ed3l6IDd0UReHIhpTA==" spinCount="100000" sheet="1" objects="1" scenarios="1"/>
  <sortState xmlns:xlrd2="http://schemas.microsoft.com/office/spreadsheetml/2017/richdata2"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ColWidth="9.140625" defaultRowHeight="15" x14ac:dyDescent="0.25"/>
  <cols>
    <col min="1" max="1" width="8.85546875" style="372" bestFit="1" customWidth="1"/>
    <col min="2" max="2" width="32.28515625" style="372" bestFit="1" customWidth="1"/>
    <col min="3" max="3" width="8.85546875" style="372" customWidth="1"/>
    <col min="4" max="4" width="17" style="372" bestFit="1" customWidth="1"/>
    <col min="5" max="5" width="9.140625" style="1389"/>
    <col min="6" max="6" width="8.85546875" style="372" bestFit="1" customWidth="1"/>
    <col min="7" max="7" width="41.140625" style="372" customWidth="1"/>
    <col min="8" max="8" width="9.140625" style="372"/>
    <col min="9" max="9" width="18.28515625" style="372" bestFit="1" customWidth="1"/>
    <col min="10" max="10" width="49.85546875" style="372" bestFit="1" customWidth="1"/>
    <col min="11" max="16384" width="9.140625" style="372"/>
  </cols>
  <sheetData>
    <row r="1" spans="1:10" x14ac:dyDescent="0.25">
      <c r="A1" s="1388" t="s">
        <v>818</v>
      </c>
      <c r="B1" s="1388" t="s">
        <v>819</v>
      </c>
      <c r="C1" s="1388" t="s">
        <v>820</v>
      </c>
      <c r="D1" s="1388" t="s">
        <v>821</v>
      </c>
      <c r="E1" s="1389" t="s">
        <v>822</v>
      </c>
      <c r="F1" s="1390" t="s">
        <v>818</v>
      </c>
      <c r="G1" s="1391" t="s">
        <v>823</v>
      </c>
      <c r="H1" s="372" t="s">
        <v>820</v>
      </c>
      <c r="I1" s="372" t="s">
        <v>821</v>
      </c>
      <c r="J1" s="1315" t="s">
        <v>824</v>
      </c>
    </row>
    <row r="2" spans="1:10" x14ac:dyDescent="0.25">
      <c r="A2" s="1392">
        <v>1.1000000000000001</v>
      </c>
      <c r="B2" s="1393" t="s">
        <v>825</v>
      </c>
      <c r="C2" s="1388" t="s">
        <v>826</v>
      </c>
      <c r="D2" s="1388" t="s">
        <v>28</v>
      </c>
      <c r="E2" s="1389">
        <v>1</v>
      </c>
      <c r="F2" s="1390" t="s">
        <v>684</v>
      </c>
      <c r="G2" s="1394" t="s">
        <v>825</v>
      </c>
      <c r="H2" s="1315" t="s">
        <v>827</v>
      </c>
      <c r="I2" s="1315" t="s">
        <v>28</v>
      </c>
      <c r="J2" s="1395" t="s">
        <v>828</v>
      </c>
    </row>
    <row r="3" spans="1:10" x14ac:dyDescent="0.25">
      <c r="A3" s="1396">
        <v>1.2</v>
      </c>
      <c r="B3" s="1397" t="s">
        <v>829</v>
      </c>
      <c r="C3" s="1388" t="s">
        <v>826</v>
      </c>
      <c r="D3" s="1388" t="s">
        <v>28</v>
      </c>
      <c r="E3" s="1389">
        <v>2</v>
      </c>
      <c r="F3" s="1390" t="s">
        <v>686</v>
      </c>
      <c r="G3" s="1394" t="s">
        <v>830</v>
      </c>
      <c r="H3" s="1315" t="s">
        <v>827</v>
      </c>
      <c r="I3" s="1315" t="s">
        <v>28</v>
      </c>
      <c r="J3" s="1395" t="s">
        <v>831</v>
      </c>
    </row>
    <row r="4" spans="1:10" x14ac:dyDescent="0.25">
      <c r="A4" s="1398">
        <v>2.1</v>
      </c>
      <c r="B4" s="1393" t="s">
        <v>825</v>
      </c>
      <c r="C4" s="1388" t="s">
        <v>826</v>
      </c>
      <c r="D4" s="1388" t="s">
        <v>28</v>
      </c>
      <c r="E4" s="1389">
        <v>3</v>
      </c>
      <c r="F4" s="1390">
        <v>1.2</v>
      </c>
      <c r="G4" s="1394" t="s">
        <v>832</v>
      </c>
      <c r="H4" s="1315" t="s">
        <v>827</v>
      </c>
      <c r="I4" s="1315" t="s">
        <v>28</v>
      </c>
      <c r="J4" s="1395" t="s">
        <v>833</v>
      </c>
    </row>
    <row r="5" spans="1:10" x14ac:dyDescent="0.25">
      <c r="A5" s="1399">
        <v>2.2000000000000002</v>
      </c>
      <c r="B5" s="1400" t="s">
        <v>834</v>
      </c>
      <c r="C5" s="1388" t="s">
        <v>826</v>
      </c>
      <c r="D5" s="1388" t="s">
        <v>28</v>
      </c>
      <c r="E5" s="1389">
        <v>4</v>
      </c>
      <c r="F5" s="1390" t="s">
        <v>689</v>
      </c>
      <c r="G5" s="1394" t="s">
        <v>825</v>
      </c>
      <c r="H5" s="1315" t="s">
        <v>827</v>
      </c>
      <c r="I5" s="1315" t="s">
        <v>28</v>
      </c>
      <c r="J5" s="1395" t="s">
        <v>828</v>
      </c>
    </row>
    <row r="6" spans="1:10" x14ac:dyDescent="0.25">
      <c r="A6" s="1399">
        <v>2.2999999999999998</v>
      </c>
      <c r="B6" s="1400" t="s">
        <v>825</v>
      </c>
      <c r="C6" s="1388" t="s">
        <v>826</v>
      </c>
      <c r="D6" s="1388" t="s">
        <v>28</v>
      </c>
      <c r="E6" s="1389">
        <v>5</v>
      </c>
      <c r="F6" s="1390" t="s">
        <v>691</v>
      </c>
      <c r="G6" s="1401" t="s">
        <v>835</v>
      </c>
      <c r="H6" s="1315" t="s">
        <v>827</v>
      </c>
      <c r="I6" s="1315" t="s">
        <v>28</v>
      </c>
      <c r="J6" s="1395" t="s">
        <v>836</v>
      </c>
    </row>
    <row r="7" spans="1:10" x14ac:dyDescent="0.25">
      <c r="A7" s="1399">
        <v>2.4</v>
      </c>
      <c r="B7" s="1400" t="s">
        <v>837</v>
      </c>
      <c r="C7" s="1388" t="s">
        <v>826</v>
      </c>
      <c r="D7" s="1388" t="s">
        <v>28</v>
      </c>
      <c r="E7" s="1389">
        <v>6</v>
      </c>
      <c r="F7" s="1402">
        <v>1.4</v>
      </c>
      <c r="G7" s="1401" t="s">
        <v>838</v>
      </c>
      <c r="H7" s="1315" t="s">
        <v>827</v>
      </c>
      <c r="I7" s="1315" t="s">
        <v>28</v>
      </c>
      <c r="J7" s="1395" t="s">
        <v>839</v>
      </c>
    </row>
    <row r="8" spans="1:10" x14ac:dyDescent="0.25">
      <c r="A8" s="1399">
        <v>2.5</v>
      </c>
      <c r="B8" s="1400" t="s">
        <v>840</v>
      </c>
      <c r="C8" s="1388" t="s">
        <v>826</v>
      </c>
      <c r="D8" s="1388" t="s">
        <v>28</v>
      </c>
      <c r="E8" s="1389">
        <v>7</v>
      </c>
      <c r="F8" s="1402">
        <v>2.1</v>
      </c>
      <c r="G8" s="1394" t="s">
        <v>825</v>
      </c>
      <c r="H8" s="1315" t="s">
        <v>827</v>
      </c>
      <c r="I8" s="1315" t="s">
        <v>28</v>
      </c>
      <c r="J8" s="1395" t="s">
        <v>828</v>
      </c>
    </row>
    <row r="9" spans="1:10" x14ac:dyDescent="0.25">
      <c r="A9" s="1399">
        <v>2.6</v>
      </c>
      <c r="B9" s="1400" t="s">
        <v>841</v>
      </c>
      <c r="C9" s="1388" t="s">
        <v>826</v>
      </c>
      <c r="D9" s="1388" t="s">
        <v>28</v>
      </c>
      <c r="E9" s="1389">
        <v>8</v>
      </c>
      <c r="F9" s="1402">
        <v>2.2000000000000002</v>
      </c>
      <c r="G9" s="1394" t="s">
        <v>825</v>
      </c>
      <c r="H9" s="1315" t="s">
        <v>827</v>
      </c>
      <c r="I9" s="1315" t="s">
        <v>28</v>
      </c>
      <c r="J9" s="1395" t="s">
        <v>828</v>
      </c>
    </row>
    <row r="10" spans="1:10" x14ac:dyDescent="0.25">
      <c r="A10" s="1403" t="s">
        <v>842</v>
      </c>
      <c r="B10" s="1400" t="s">
        <v>548</v>
      </c>
      <c r="C10" s="1388" t="s">
        <v>826</v>
      </c>
      <c r="D10" s="1388" t="s">
        <v>28</v>
      </c>
      <c r="E10" s="1389">
        <v>9</v>
      </c>
      <c r="F10" s="1402">
        <v>2.2999999999999998</v>
      </c>
      <c r="G10" s="1394" t="s">
        <v>825</v>
      </c>
      <c r="H10" s="1315" t="s">
        <v>827</v>
      </c>
      <c r="I10" s="1315" t="s">
        <v>28</v>
      </c>
      <c r="J10" s="1395" t="s">
        <v>828</v>
      </c>
    </row>
    <row r="11" spans="1:10" x14ac:dyDescent="0.25">
      <c r="A11" s="1399" t="s">
        <v>843</v>
      </c>
      <c r="B11" s="1400" t="s">
        <v>844</v>
      </c>
      <c r="C11" s="1388" t="s">
        <v>826</v>
      </c>
      <c r="D11" s="1388" t="s">
        <v>28</v>
      </c>
      <c r="E11" s="1389">
        <v>10</v>
      </c>
      <c r="F11" s="1402">
        <v>2.4</v>
      </c>
      <c r="G11" s="1394" t="s">
        <v>837</v>
      </c>
      <c r="H11" s="1315" t="s">
        <v>827</v>
      </c>
      <c r="I11" s="1315" t="s">
        <v>28</v>
      </c>
      <c r="J11" s="1395" t="s">
        <v>845</v>
      </c>
    </row>
    <row r="12" spans="1:10" x14ac:dyDescent="0.25">
      <c r="A12" s="1399">
        <v>2.8</v>
      </c>
      <c r="B12" s="1400" t="s">
        <v>846</v>
      </c>
      <c r="C12" s="1388" t="s">
        <v>826</v>
      </c>
      <c r="D12" s="1388" t="s">
        <v>28</v>
      </c>
      <c r="E12" s="1389">
        <v>11</v>
      </c>
      <c r="F12" s="1402">
        <v>2.5</v>
      </c>
      <c r="G12" s="1394" t="s">
        <v>847</v>
      </c>
      <c r="H12" s="1315" t="s">
        <v>827</v>
      </c>
      <c r="I12" s="1315" t="s">
        <v>28</v>
      </c>
      <c r="J12" s="1395" t="s">
        <v>848</v>
      </c>
    </row>
    <row r="13" spans="1:10" x14ac:dyDescent="0.25">
      <c r="A13" s="1399">
        <v>2.9</v>
      </c>
      <c r="B13" s="1400" t="s">
        <v>849</v>
      </c>
      <c r="C13" s="1388" t="s">
        <v>826</v>
      </c>
      <c r="D13" s="1388" t="s">
        <v>28</v>
      </c>
      <c r="E13" s="1389">
        <v>12</v>
      </c>
      <c r="F13" s="1402">
        <v>2.6</v>
      </c>
      <c r="G13" s="1394" t="s">
        <v>825</v>
      </c>
      <c r="H13" s="1315" t="s">
        <v>827</v>
      </c>
      <c r="I13" s="1315" t="s">
        <v>28</v>
      </c>
      <c r="J13" s="1395" t="s">
        <v>828</v>
      </c>
    </row>
    <row r="14" spans="1:10" x14ac:dyDescent="0.25">
      <c r="A14" s="1404" t="s">
        <v>708</v>
      </c>
      <c r="B14" s="1397" t="s">
        <v>841</v>
      </c>
      <c r="C14" s="1388" t="s">
        <v>826</v>
      </c>
      <c r="D14" s="1388" t="s">
        <v>28</v>
      </c>
      <c r="E14" s="1389">
        <v>13</v>
      </c>
      <c r="F14" s="1269" t="s">
        <v>702</v>
      </c>
      <c r="G14" s="1394" t="s">
        <v>825</v>
      </c>
      <c r="H14" s="1315" t="s">
        <v>827</v>
      </c>
      <c r="I14" s="1315" t="s">
        <v>28</v>
      </c>
      <c r="J14" s="1395" t="s">
        <v>828</v>
      </c>
    </row>
    <row r="15" spans="1:10" x14ac:dyDescent="0.25">
      <c r="A15" s="1398" t="s">
        <v>850</v>
      </c>
      <c r="B15" s="1393" t="s">
        <v>825</v>
      </c>
      <c r="C15" s="1388" t="s">
        <v>826</v>
      </c>
      <c r="D15" s="1388" t="s">
        <v>28</v>
      </c>
      <c r="E15" s="1389">
        <v>14</v>
      </c>
      <c r="F15" s="1390" t="s">
        <v>704</v>
      </c>
      <c r="G15" s="1394" t="s">
        <v>851</v>
      </c>
      <c r="H15" s="1315" t="s">
        <v>827</v>
      </c>
      <c r="I15" s="1315" t="s">
        <v>28</v>
      </c>
      <c r="J15" s="1395" t="s">
        <v>852</v>
      </c>
    </row>
    <row r="16" spans="1:10" x14ac:dyDescent="0.25">
      <c r="A16" s="1399" t="s">
        <v>853</v>
      </c>
      <c r="B16" s="1400" t="s">
        <v>825</v>
      </c>
      <c r="C16" s="1388" t="s">
        <v>826</v>
      </c>
      <c r="D16" s="1388" t="s">
        <v>28</v>
      </c>
      <c r="E16" s="1389">
        <v>15</v>
      </c>
      <c r="F16" s="1402">
        <v>2.8</v>
      </c>
      <c r="G16" s="1394" t="s">
        <v>834</v>
      </c>
      <c r="H16" s="1315" t="s">
        <v>827</v>
      </c>
      <c r="I16" s="1315" t="s">
        <v>28</v>
      </c>
      <c r="J16" s="1395" t="s">
        <v>854</v>
      </c>
    </row>
    <row r="17" spans="1:10" x14ac:dyDescent="0.25">
      <c r="A17" s="1399" t="s">
        <v>714</v>
      </c>
      <c r="B17" s="1405" t="s">
        <v>855</v>
      </c>
      <c r="C17" s="1388" t="s">
        <v>826</v>
      </c>
      <c r="D17" s="1388" t="s">
        <v>28</v>
      </c>
      <c r="E17" s="1389">
        <v>16</v>
      </c>
      <c r="F17" s="1402">
        <v>2.9</v>
      </c>
      <c r="G17" s="1394" t="s">
        <v>837</v>
      </c>
      <c r="H17" s="1315" t="s">
        <v>827</v>
      </c>
      <c r="I17" s="1315" t="s">
        <v>28</v>
      </c>
      <c r="J17" s="1395" t="s">
        <v>845</v>
      </c>
    </row>
    <row r="18" spans="1:10" x14ac:dyDescent="0.25">
      <c r="A18" s="1399" t="s">
        <v>715</v>
      </c>
      <c r="B18" s="1400" t="s">
        <v>837</v>
      </c>
      <c r="C18" s="1388" t="s">
        <v>826</v>
      </c>
      <c r="D18" s="1388" t="s">
        <v>28</v>
      </c>
      <c r="E18" s="1389">
        <v>17</v>
      </c>
      <c r="F18" s="1406" t="s">
        <v>708</v>
      </c>
      <c r="G18" s="1394" t="s">
        <v>841</v>
      </c>
      <c r="H18" s="1315" t="s">
        <v>827</v>
      </c>
      <c r="I18" s="1315" t="s">
        <v>28</v>
      </c>
      <c r="J18" s="1395" t="s">
        <v>856</v>
      </c>
    </row>
    <row r="19" spans="1:10" x14ac:dyDescent="0.25">
      <c r="A19" s="1399" t="s">
        <v>716</v>
      </c>
      <c r="B19" s="1400" t="s">
        <v>857</v>
      </c>
      <c r="C19" s="1388" t="s">
        <v>826</v>
      </c>
      <c r="D19" s="1388" t="s">
        <v>28</v>
      </c>
      <c r="E19" s="1389">
        <v>18</v>
      </c>
      <c r="F19" s="1402">
        <v>3.1</v>
      </c>
      <c r="G19" s="1394" t="s">
        <v>825</v>
      </c>
      <c r="H19" s="1315" t="s">
        <v>827</v>
      </c>
      <c r="I19" s="1315" t="s">
        <v>28</v>
      </c>
      <c r="J19" s="1395" t="s">
        <v>828</v>
      </c>
    </row>
    <row r="20" spans="1:10" x14ac:dyDescent="0.25">
      <c r="A20" s="1399" t="s">
        <v>858</v>
      </c>
      <c r="B20" s="1405" t="s">
        <v>859</v>
      </c>
      <c r="C20" s="1407" t="s">
        <v>826</v>
      </c>
      <c r="D20" s="1407" t="s">
        <v>28</v>
      </c>
      <c r="E20" s="1389">
        <v>19</v>
      </c>
      <c r="F20" s="1390">
        <v>3.2</v>
      </c>
      <c r="G20" s="1394" t="s">
        <v>825</v>
      </c>
      <c r="H20" s="1315" t="s">
        <v>827</v>
      </c>
      <c r="I20" s="1315" t="s">
        <v>28</v>
      </c>
      <c r="J20" s="1395" t="s">
        <v>828</v>
      </c>
    </row>
    <row r="21" spans="1:10" x14ac:dyDescent="0.25">
      <c r="A21" s="1399" t="s">
        <v>860</v>
      </c>
      <c r="B21" s="1400" t="s">
        <v>861</v>
      </c>
      <c r="C21" s="1388" t="s">
        <v>826</v>
      </c>
      <c r="D21" s="1388" t="s">
        <v>28</v>
      </c>
      <c r="E21" s="1389">
        <v>20</v>
      </c>
      <c r="F21" s="1390" t="s">
        <v>862</v>
      </c>
      <c r="G21" s="1394" t="s">
        <v>863</v>
      </c>
      <c r="H21" s="1315" t="s">
        <v>827</v>
      </c>
      <c r="I21" s="1315" t="s">
        <v>28</v>
      </c>
      <c r="J21" s="1395" t="s">
        <v>864</v>
      </c>
    </row>
    <row r="22" spans="1:10" x14ac:dyDescent="0.25">
      <c r="A22" s="1399" t="s">
        <v>865</v>
      </c>
      <c r="B22" s="1397" t="s">
        <v>825</v>
      </c>
      <c r="C22" s="1388" t="s">
        <v>826</v>
      </c>
      <c r="D22" s="1388" t="s">
        <v>28</v>
      </c>
      <c r="E22" s="1389">
        <v>21</v>
      </c>
      <c r="F22" s="1390" t="s">
        <v>866</v>
      </c>
      <c r="G22" s="1394" t="s">
        <v>837</v>
      </c>
      <c r="H22" s="1315" t="s">
        <v>827</v>
      </c>
      <c r="I22" s="1315" t="s">
        <v>28</v>
      </c>
      <c r="J22" s="1395" t="s">
        <v>845</v>
      </c>
    </row>
    <row r="23" spans="1:10" x14ac:dyDescent="0.25">
      <c r="A23" s="1408" t="s">
        <v>867</v>
      </c>
      <c r="B23" s="1409" t="s">
        <v>825</v>
      </c>
      <c r="C23" s="1388" t="s">
        <v>826</v>
      </c>
      <c r="D23" s="1388" t="s">
        <v>28</v>
      </c>
      <c r="E23" s="1389">
        <v>22</v>
      </c>
      <c r="F23" s="1390" t="s">
        <v>868</v>
      </c>
      <c r="G23" s="1394" t="s">
        <v>869</v>
      </c>
      <c r="H23" s="1315" t="s">
        <v>827</v>
      </c>
      <c r="I23" s="1315" t="s">
        <v>28</v>
      </c>
      <c r="J23" s="1395" t="s">
        <v>870</v>
      </c>
    </row>
    <row r="24" spans="1:10" x14ac:dyDescent="0.25">
      <c r="A24" s="1410" t="s">
        <v>871</v>
      </c>
      <c r="B24" s="1411" t="s">
        <v>861</v>
      </c>
      <c r="C24" s="1407" t="s">
        <v>826</v>
      </c>
      <c r="D24" s="1388" t="s">
        <v>28</v>
      </c>
      <c r="E24" s="1389">
        <v>23</v>
      </c>
      <c r="F24" s="1412">
        <v>3.4</v>
      </c>
      <c r="G24" s="1401" t="s">
        <v>872</v>
      </c>
      <c r="H24" s="1315" t="s">
        <v>827</v>
      </c>
      <c r="I24" s="1315" t="s">
        <v>28</v>
      </c>
      <c r="J24" s="1395" t="s">
        <v>864</v>
      </c>
    </row>
    <row r="25" spans="1:10" x14ac:dyDescent="0.25">
      <c r="A25" s="1410" t="s">
        <v>873</v>
      </c>
      <c r="B25" s="1413" t="s">
        <v>874</v>
      </c>
      <c r="C25" s="1407" t="s">
        <v>826</v>
      </c>
      <c r="D25" s="1388" t="s">
        <v>28</v>
      </c>
      <c r="E25" s="1389">
        <v>24</v>
      </c>
      <c r="F25" s="1402">
        <v>3.5</v>
      </c>
      <c r="G25" s="1394" t="s">
        <v>875</v>
      </c>
      <c r="H25" s="1315" t="s">
        <v>827</v>
      </c>
      <c r="I25" s="1315" t="s">
        <v>28</v>
      </c>
      <c r="J25" s="1395" t="s">
        <v>876</v>
      </c>
    </row>
    <row r="26" spans="1:10" x14ac:dyDescent="0.25">
      <c r="A26" s="1414" t="s">
        <v>877</v>
      </c>
      <c r="B26" s="1415" t="s">
        <v>825</v>
      </c>
      <c r="C26" s="1407" t="s">
        <v>826</v>
      </c>
      <c r="D26" s="1388" t="s">
        <v>28</v>
      </c>
      <c r="E26" s="1389">
        <v>25</v>
      </c>
      <c r="F26" s="1402">
        <v>3.6</v>
      </c>
      <c r="G26" s="1394" t="s">
        <v>825</v>
      </c>
      <c r="H26" s="1315" t="s">
        <v>827</v>
      </c>
      <c r="I26" s="1315" t="s">
        <v>28</v>
      </c>
      <c r="J26" s="1395" t="s">
        <v>828</v>
      </c>
    </row>
    <row r="27" spans="1:10" x14ac:dyDescent="0.25">
      <c r="A27" s="1416" t="s">
        <v>878</v>
      </c>
      <c r="B27" s="1417" t="s">
        <v>548</v>
      </c>
      <c r="C27" s="1388" t="s">
        <v>826</v>
      </c>
      <c r="D27" s="1388" t="s">
        <v>28</v>
      </c>
      <c r="E27" s="1389">
        <v>26</v>
      </c>
      <c r="F27" s="1390" t="s">
        <v>723</v>
      </c>
      <c r="G27" s="1394" t="s">
        <v>825</v>
      </c>
      <c r="H27" s="1315" t="s">
        <v>827</v>
      </c>
      <c r="I27" s="1315" t="s">
        <v>28</v>
      </c>
      <c r="J27" s="1395" t="s">
        <v>828</v>
      </c>
    </row>
    <row r="28" spans="1:10" x14ac:dyDescent="0.25">
      <c r="A28" s="1418" t="s">
        <v>879</v>
      </c>
      <c r="B28" s="1417" t="s">
        <v>880</v>
      </c>
      <c r="C28" s="1388" t="s">
        <v>826</v>
      </c>
      <c r="D28" s="1388" t="s">
        <v>28</v>
      </c>
      <c r="E28" s="1389">
        <v>27</v>
      </c>
      <c r="F28" s="1390" t="s">
        <v>725</v>
      </c>
      <c r="G28" s="1394" t="s">
        <v>881</v>
      </c>
      <c r="H28" s="1315" t="s">
        <v>827</v>
      </c>
      <c r="I28" s="1315" t="s">
        <v>28</v>
      </c>
      <c r="J28" s="1395" t="s">
        <v>882</v>
      </c>
    </row>
    <row r="29" spans="1:10" x14ac:dyDescent="0.25">
      <c r="A29" s="1416" t="s">
        <v>883</v>
      </c>
      <c r="B29" s="1417" t="s">
        <v>548</v>
      </c>
      <c r="C29" s="1407" t="s">
        <v>826</v>
      </c>
      <c r="D29" s="1388" t="s">
        <v>28</v>
      </c>
      <c r="E29" s="1389">
        <v>28</v>
      </c>
      <c r="F29" s="1402">
        <v>4.2</v>
      </c>
      <c r="G29" s="1394" t="s">
        <v>834</v>
      </c>
      <c r="H29" s="1315" t="s">
        <v>827</v>
      </c>
      <c r="I29" s="1315" t="s">
        <v>28</v>
      </c>
      <c r="J29" s="1395" t="s">
        <v>854</v>
      </c>
    </row>
    <row r="30" spans="1:10" x14ac:dyDescent="0.25">
      <c r="A30" s="1418" t="s">
        <v>884</v>
      </c>
      <c r="B30" s="1417" t="s">
        <v>825</v>
      </c>
      <c r="C30" s="1407" t="s">
        <v>826</v>
      </c>
      <c r="D30" s="1388" t="s">
        <v>28</v>
      </c>
      <c r="E30" s="1389">
        <v>29</v>
      </c>
      <c r="F30" s="1402">
        <v>4.3</v>
      </c>
      <c r="G30" s="1394" t="s">
        <v>885</v>
      </c>
      <c r="H30" s="1315" t="s">
        <v>827</v>
      </c>
      <c r="I30" s="1315" t="s">
        <v>28</v>
      </c>
      <c r="J30" s="1395" t="s">
        <v>886</v>
      </c>
    </row>
    <row r="31" spans="1:10" x14ac:dyDescent="0.25">
      <c r="A31" s="1418" t="s">
        <v>887</v>
      </c>
      <c r="B31" s="1419" t="s">
        <v>888</v>
      </c>
      <c r="C31" s="1407" t="s">
        <v>826</v>
      </c>
      <c r="D31" s="1388" t="s">
        <v>28</v>
      </c>
      <c r="E31" s="1389">
        <v>30</v>
      </c>
      <c r="F31" s="1402">
        <v>4.4000000000000004</v>
      </c>
      <c r="G31" s="1394" t="s">
        <v>889</v>
      </c>
      <c r="H31" s="1315" t="s">
        <v>827</v>
      </c>
      <c r="I31" s="1315" t="s">
        <v>28</v>
      </c>
      <c r="J31" s="1395" t="s">
        <v>890</v>
      </c>
    </row>
    <row r="32" spans="1:10" x14ac:dyDescent="0.25">
      <c r="A32" s="1418" t="s">
        <v>891</v>
      </c>
      <c r="B32" s="1417" t="s">
        <v>841</v>
      </c>
      <c r="C32" s="1388" t="s">
        <v>826</v>
      </c>
      <c r="D32" s="1388" t="s">
        <v>28</v>
      </c>
      <c r="E32" s="1389">
        <v>31</v>
      </c>
      <c r="F32" s="1390" t="s">
        <v>732</v>
      </c>
      <c r="G32" s="1394" t="s">
        <v>825</v>
      </c>
      <c r="H32" s="1315" t="s">
        <v>827</v>
      </c>
      <c r="I32" s="1315" t="s">
        <v>28</v>
      </c>
      <c r="J32" s="1395" t="s">
        <v>828</v>
      </c>
    </row>
    <row r="33" spans="1:10" x14ac:dyDescent="0.25">
      <c r="A33" s="1418" t="s">
        <v>892</v>
      </c>
      <c r="B33" s="1417" t="s">
        <v>825</v>
      </c>
      <c r="C33" s="1388" t="s">
        <v>826</v>
      </c>
      <c r="D33" s="1388" t="s">
        <v>28</v>
      </c>
      <c r="E33" s="1389">
        <v>32</v>
      </c>
      <c r="F33" s="1390" t="s">
        <v>734</v>
      </c>
      <c r="G33" s="1394" t="s">
        <v>548</v>
      </c>
      <c r="H33" s="1315" t="s">
        <v>827</v>
      </c>
      <c r="I33" s="1315" t="s">
        <v>28</v>
      </c>
      <c r="J33" s="1395" t="s">
        <v>548</v>
      </c>
    </row>
    <row r="34" spans="1:10" x14ac:dyDescent="0.25">
      <c r="A34" s="1418" t="s">
        <v>893</v>
      </c>
      <c r="B34" s="1417" t="s">
        <v>825</v>
      </c>
      <c r="C34" s="1388" t="s">
        <v>826</v>
      </c>
      <c r="D34" s="1388" t="s">
        <v>28</v>
      </c>
      <c r="E34" s="1389">
        <v>33</v>
      </c>
      <c r="F34" s="1390" t="s">
        <v>736</v>
      </c>
      <c r="G34" s="1420" t="s">
        <v>894</v>
      </c>
      <c r="H34" s="1315" t="s">
        <v>827</v>
      </c>
      <c r="I34" s="1315" t="s">
        <v>28</v>
      </c>
      <c r="J34" s="1395" t="s">
        <v>895</v>
      </c>
    </row>
    <row r="35" spans="1:10" x14ac:dyDescent="0.25">
      <c r="A35" s="1416" t="s">
        <v>896</v>
      </c>
      <c r="B35" s="1417" t="s">
        <v>548</v>
      </c>
      <c r="C35" s="1388" t="s">
        <v>826</v>
      </c>
      <c r="D35" s="1388" t="s">
        <v>28</v>
      </c>
      <c r="E35" s="1389">
        <v>34</v>
      </c>
      <c r="F35" s="1390" t="s">
        <v>738</v>
      </c>
      <c r="G35" s="1394" t="s">
        <v>548</v>
      </c>
      <c r="H35" s="1315" t="s">
        <v>827</v>
      </c>
      <c r="I35" s="1315" t="s">
        <v>28</v>
      </c>
      <c r="J35" s="1395" t="s">
        <v>548</v>
      </c>
    </row>
    <row r="36" spans="1:10" x14ac:dyDescent="0.25">
      <c r="A36" s="1418" t="s">
        <v>897</v>
      </c>
      <c r="B36" s="1417" t="s">
        <v>898</v>
      </c>
      <c r="C36" s="1407" t="s">
        <v>826</v>
      </c>
      <c r="D36" s="1388" t="s">
        <v>28</v>
      </c>
      <c r="E36" s="1389">
        <v>35</v>
      </c>
      <c r="F36" s="1402">
        <v>5.3</v>
      </c>
      <c r="G36" s="1394" t="s">
        <v>899</v>
      </c>
      <c r="H36" s="1315" t="s">
        <v>827</v>
      </c>
      <c r="I36" s="1315" t="s">
        <v>28</v>
      </c>
      <c r="J36" s="1395" t="s">
        <v>900</v>
      </c>
    </row>
    <row r="37" spans="1:10" x14ac:dyDescent="0.25">
      <c r="A37" s="1418" t="s">
        <v>901</v>
      </c>
      <c r="B37" s="1417" t="s">
        <v>902</v>
      </c>
      <c r="C37" s="1407" t="s">
        <v>826</v>
      </c>
      <c r="D37" s="1388" t="s">
        <v>28</v>
      </c>
      <c r="E37" s="1389">
        <v>36</v>
      </c>
      <c r="F37" s="1402">
        <v>5.4</v>
      </c>
      <c r="G37" s="1401" t="s">
        <v>903</v>
      </c>
      <c r="H37" s="1315" t="s">
        <v>827</v>
      </c>
      <c r="I37" s="1315" t="s">
        <v>28</v>
      </c>
      <c r="J37" s="1395" t="s">
        <v>864</v>
      </c>
    </row>
    <row r="38" spans="1:10" x14ac:dyDescent="0.25">
      <c r="A38" s="1418" t="s">
        <v>904</v>
      </c>
      <c r="B38" s="1417" t="s">
        <v>905</v>
      </c>
      <c r="C38" s="1407" t="s">
        <v>826</v>
      </c>
      <c r="D38" s="1388" t="s">
        <v>28</v>
      </c>
      <c r="E38" s="1389">
        <v>37</v>
      </c>
      <c r="F38" s="1402">
        <v>5.5</v>
      </c>
      <c r="G38" s="1394" t="s">
        <v>841</v>
      </c>
      <c r="H38" s="1315" t="s">
        <v>827</v>
      </c>
      <c r="I38" s="1315" t="s">
        <v>28</v>
      </c>
      <c r="J38" s="1395" t="s">
        <v>856</v>
      </c>
    </row>
    <row r="39" spans="1:10" x14ac:dyDescent="0.25">
      <c r="A39" s="1418" t="s">
        <v>906</v>
      </c>
      <c r="B39" s="1417" t="s">
        <v>825</v>
      </c>
      <c r="C39" s="1407" t="s">
        <v>826</v>
      </c>
      <c r="D39" s="1388" t="s">
        <v>28</v>
      </c>
      <c r="E39" s="1389">
        <v>38</v>
      </c>
      <c r="F39" s="1402">
        <v>5.6</v>
      </c>
      <c r="G39" s="1394" t="s">
        <v>825</v>
      </c>
      <c r="H39" s="1315" t="s">
        <v>827</v>
      </c>
      <c r="I39" s="1315" t="s">
        <v>28</v>
      </c>
      <c r="J39" s="1395" t="s">
        <v>828</v>
      </c>
    </row>
    <row r="40" spans="1:10" x14ac:dyDescent="0.25">
      <c r="A40" s="1418" t="s">
        <v>755</v>
      </c>
      <c r="B40" s="1417" t="s">
        <v>907</v>
      </c>
      <c r="C40" s="1388" t="s">
        <v>826</v>
      </c>
      <c r="D40" s="1388" t="s">
        <v>28</v>
      </c>
      <c r="E40" s="1389">
        <v>39</v>
      </c>
      <c r="F40" s="1390" t="s">
        <v>744</v>
      </c>
      <c r="G40" s="1394" t="s">
        <v>825</v>
      </c>
      <c r="H40" s="1315" t="s">
        <v>827</v>
      </c>
      <c r="I40" s="1315" t="s">
        <v>28</v>
      </c>
      <c r="J40" s="1395" t="s">
        <v>828</v>
      </c>
    </row>
    <row r="41" spans="1:10" x14ac:dyDescent="0.25">
      <c r="A41" s="1418">
        <v>5.1100000000000003</v>
      </c>
      <c r="B41" s="1417" t="s">
        <v>548</v>
      </c>
      <c r="C41" s="1388" t="s">
        <v>826</v>
      </c>
      <c r="D41" s="1388" t="s">
        <v>28</v>
      </c>
      <c r="E41" s="1389">
        <v>40</v>
      </c>
      <c r="F41" s="1390" t="s">
        <v>746</v>
      </c>
      <c r="G41" s="1394" t="s">
        <v>548</v>
      </c>
      <c r="H41" s="1315" t="s">
        <v>827</v>
      </c>
      <c r="I41" s="1315" t="s">
        <v>28</v>
      </c>
      <c r="J41" s="1395" t="s">
        <v>548</v>
      </c>
    </row>
    <row r="42" spans="1:10" x14ac:dyDescent="0.25">
      <c r="A42" s="1418">
        <v>5.12</v>
      </c>
      <c r="B42" s="1417" t="s">
        <v>548</v>
      </c>
      <c r="C42" s="1388" t="s">
        <v>826</v>
      </c>
      <c r="D42" s="1388" t="s">
        <v>28</v>
      </c>
      <c r="E42" s="1389">
        <v>41</v>
      </c>
      <c r="F42" s="1390" t="s">
        <v>748</v>
      </c>
      <c r="G42" s="1394" t="s">
        <v>548</v>
      </c>
      <c r="H42" s="1315" t="s">
        <v>827</v>
      </c>
      <c r="I42" s="1315" t="s">
        <v>28</v>
      </c>
      <c r="J42" s="1395" t="s">
        <v>548</v>
      </c>
    </row>
    <row r="43" spans="1:10" x14ac:dyDescent="0.25">
      <c r="A43" s="1421">
        <v>5.13</v>
      </c>
      <c r="B43" s="1422" t="s">
        <v>548</v>
      </c>
      <c r="C43" s="1388" t="s">
        <v>826</v>
      </c>
      <c r="D43" s="1388" t="s">
        <v>28</v>
      </c>
      <c r="E43" s="1389">
        <v>42</v>
      </c>
      <c r="F43" s="1390" t="s">
        <v>750</v>
      </c>
      <c r="G43" s="1394" t="s">
        <v>902</v>
      </c>
      <c r="H43" s="1315" t="s">
        <v>827</v>
      </c>
      <c r="I43" s="1315" t="s">
        <v>28</v>
      </c>
      <c r="J43" s="1395" t="s">
        <v>908</v>
      </c>
    </row>
    <row r="44" spans="1:10" x14ac:dyDescent="0.25">
      <c r="A44" s="1414" t="s">
        <v>909</v>
      </c>
      <c r="B44" s="1415" t="s">
        <v>825</v>
      </c>
      <c r="C44" s="1388" t="s">
        <v>826</v>
      </c>
      <c r="D44" s="1388" t="s">
        <v>28</v>
      </c>
      <c r="E44" s="1389">
        <v>43</v>
      </c>
      <c r="F44" s="1390" t="s">
        <v>752</v>
      </c>
      <c r="G44" s="1394" t="s">
        <v>548</v>
      </c>
      <c r="H44" s="1315" t="s">
        <v>827</v>
      </c>
      <c r="I44" s="1315" t="s">
        <v>28</v>
      </c>
      <c r="J44" s="1395" t="s">
        <v>548</v>
      </c>
    </row>
    <row r="45" spans="1:10" x14ac:dyDescent="0.25">
      <c r="A45" s="1418" t="s">
        <v>910</v>
      </c>
      <c r="B45" s="1417" t="s">
        <v>825</v>
      </c>
      <c r="C45" s="1407" t="s">
        <v>826</v>
      </c>
      <c r="D45" s="1388" t="s">
        <v>28</v>
      </c>
      <c r="E45" s="1389">
        <v>44</v>
      </c>
      <c r="F45" s="1402">
        <v>5.9</v>
      </c>
      <c r="G45" s="1394" t="s">
        <v>825</v>
      </c>
      <c r="H45" s="1315" t="s">
        <v>827</v>
      </c>
      <c r="I45" s="1315" t="s">
        <v>28</v>
      </c>
      <c r="J45" s="1395" t="s">
        <v>828</v>
      </c>
    </row>
    <row r="46" spans="1:10" x14ac:dyDescent="0.25">
      <c r="A46" s="1418" t="s">
        <v>911</v>
      </c>
      <c r="B46" s="1417" t="s">
        <v>857</v>
      </c>
      <c r="C46" s="1407" t="s">
        <v>826</v>
      </c>
      <c r="D46" s="1388" t="s">
        <v>28</v>
      </c>
      <c r="E46" s="1389">
        <v>45</v>
      </c>
      <c r="F46" s="1406" t="s">
        <v>755</v>
      </c>
      <c r="G46" s="1394" t="s">
        <v>548</v>
      </c>
      <c r="H46" s="1315" t="s">
        <v>827</v>
      </c>
      <c r="I46" s="1315" t="s">
        <v>28</v>
      </c>
      <c r="J46" s="1395" t="s">
        <v>548</v>
      </c>
    </row>
    <row r="47" spans="1:10" x14ac:dyDescent="0.25">
      <c r="A47" s="1418" t="s">
        <v>912</v>
      </c>
      <c r="B47" s="1417" t="s">
        <v>913</v>
      </c>
      <c r="C47" s="1407" t="s">
        <v>826</v>
      </c>
      <c r="D47" s="1388" t="s">
        <v>28</v>
      </c>
      <c r="E47" s="1389">
        <v>46</v>
      </c>
      <c r="F47" s="1402">
        <v>5.1100000000000003</v>
      </c>
      <c r="G47" s="1394" t="s">
        <v>548</v>
      </c>
      <c r="H47" s="1315" t="s">
        <v>827</v>
      </c>
      <c r="I47" s="1315" t="s">
        <v>28</v>
      </c>
      <c r="J47" s="1395" t="s">
        <v>548</v>
      </c>
    </row>
    <row r="48" spans="1:10" x14ac:dyDescent="0.25">
      <c r="A48" s="1418" t="s">
        <v>914</v>
      </c>
      <c r="B48" s="1417" t="s">
        <v>857</v>
      </c>
      <c r="C48" s="1407" t="s">
        <v>826</v>
      </c>
      <c r="D48" s="1388" t="s">
        <v>28</v>
      </c>
      <c r="E48" s="1389">
        <v>47</v>
      </c>
      <c r="F48" s="1402">
        <v>5.12</v>
      </c>
      <c r="G48" s="1394" t="s">
        <v>548</v>
      </c>
      <c r="H48" s="1315" t="s">
        <v>827</v>
      </c>
      <c r="I48" s="1315" t="s">
        <v>28</v>
      </c>
      <c r="J48" s="1395" t="s">
        <v>548</v>
      </c>
    </row>
    <row r="49" spans="1:10" x14ac:dyDescent="0.25">
      <c r="A49" s="1418" t="s">
        <v>915</v>
      </c>
      <c r="B49" s="1417" t="s">
        <v>857</v>
      </c>
      <c r="C49" s="1407" t="s">
        <v>826</v>
      </c>
      <c r="D49" s="1388" t="s">
        <v>28</v>
      </c>
      <c r="E49" s="1389">
        <v>48</v>
      </c>
      <c r="F49" s="1402">
        <v>5.13</v>
      </c>
      <c r="G49" s="1394" t="s">
        <v>548</v>
      </c>
      <c r="H49" s="1315" t="s">
        <v>827</v>
      </c>
      <c r="I49" s="1315" t="s">
        <v>28</v>
      </c>
      <c r="J49" s="1395" t="s">
        <v>548</v>
      </c>
    </row>
    <row r="50" spans="1:10" x14ac:dyDescent="0.25">
      <c r="A50" s="1418" t="s">
        <v>916</v>
      </c>
      <c r="B50" s="1417" t="s">
        <v>837</v>
      </c>
      <c r="C50" s="1407" t="s">
        <v>826</v>
      </c>
      <c r="D50" s="1388" t="s">
        <v>28</v>
      </c>
      <c r="E50" s="1389">
        <v>49</v>
      </c>
      <c r="F50" s="1402">
        <v>6.1</v>
      </c>
      <c r="G50" s="1394" t="s">
        <v>825</v>
      </c>
      <c r="H50" s="1315" t="s">
        <v>827</v>
      </c>
      <c r="I50" s="1315" t="s">
        <v>28</v>
      </c>
      <c r="J50" s="1395" t="s">
        <v>828</v>
      </c>
    </row>
    <row r="51" spans="1:10" x14ac:dyDescent="0.25">
      <c r="A51" s="1418" t="s">
        <v>917</v>
      </c>
      <c r="B51" s="1417" t="s">
        <v>837</v>
      </c>
      <c r="C51" s="1407" t="s">
        <v>826</v>
      </c>
      <c r="D51" s="1388" t="s">
        <v>28</v>
      </c>
      <c r="E51" s="1389">
        <v>50</v>
      </c>
      <c r="F51" s="1402">
        <v>6.2</v>
      </c>
      <c r="G51" s="1394" t="s">
        <v>825</v>
      </c>
      <c r="H51" s="1315" t="s">
        <v>827</v>
      </c>
      <c r="I51" s="1315" t="s">
        <v>28</v>
      </c>
      <c r="J51" s="1395" t="s">
        <v>828</v>
      </c>
    </row>
    <row r="52" spans="1:10" x14ac:dyDescent="0.25">
      <c r="A52" s="1421" t="s">
        <v>918</v>
      </c>
      <c r="B52" s="1422" t="s">
        <v>919</v>
      </c>
      <c r="C52" s="1407" t="s">
        <v>826</v>
      </c>
      <c r="D52" s="1388" t="s">
        <v>28</v>
      </c>
      <c r="E52" s="1389">
        <v>51</v>
      </c>
      <c r="F52" s="1402">
        <v>6.3</v>
      </c>
      <c r="G52" s="1394" t="s">
        <v>869</v>
      </c>
      <c r="H52" s="1315" t="s">
        <v>827</v>
      </c>
      <c r="I52" s="1315" t="s">
        <v>28</v>
      </c>
      <c r="J52" s="1423" t="s">
        <v>870</v>
      </c>
    </row>
    <row r="53" spans="1:10" x14ac:dyDescent="0.25">
      <c r="A53" s="1414" t="s">
        <v>920</v>
      </c>
      <c r="B53" s="1415" t="s">
        <v>825</v>
      </c>
      <c r="C53" s="1407" t="s">
        <v>826</v>
      </c>
      <c r="D53" s="1388" t="s">
        <v>28</v>
      </c>
      <c r="E53" s="1389">
        <v>52</v>
      </c>
      <c r="F53" s="1402">
        <v>6.4</v>
      </c>
      <c r="G53" s="1401" t="s">
        <v>921</v>
      </c>
      <c r="H53" s="1315" t="s">
        <v>827</v>
      </c>
      <c r="I53" s="1315" t="s">
        <v>28</v>
      </c>
      <c r="J53" s="1395" t="s">
        <v>922</v>
      </c>
    </row>
    <row r="54" spans="1:10" x14ac:dyDescent="0.25">
      <c r="A54" s="1418" t="s">
        <v>923</v>
      </c>
      <c r="B54" s="1419" t="s">
        <v>924</v>
      </c>
      <c r="C54" s="1388" t="s">
        <v>826</v>
      </c>
      <c r="D54" s="1388" t="s">
        <v>28</v>
      </c>
      <c r="E54" s="1389">
        <v>53</v>
      </c>
      <c r="F54" s="1390" t="s">
        <v>765</v>
      </c>
      <c r="G54" s="1394" t="s">
        <v>834</v>
      </c>
      <c r="H54" s="1315" t="s">
        <v>827</v>
      </c>
      <c r="I54" s="1315" t="s">
        <v>28</v>
      </c>
      <c r="J54" s="1395" t="s">
        <v>854</v>
      </c>
    </row>
    <row r="55" spans="1:10" x14ac:dyDescent="0.25">
      <c r="A55" s="1418" t="s">
        <v>925</v>
      </c>
      <c r="B55" s="1417" t="s">
        <v>926</v>
      </c>
      <c r="C55" s="1388" t="s">
        <v>826</v>
      </c>
      <c r="D55" s="1388" t="s">
        <v>28</v>
      </c>
      <c r="E55" s="1389">
        <v>54</v>
      </c>
      <c r="F55" s="1390" t="s">
        <v>767</v>
      </c>
      <c r="G55" s="1394" t="s">
        <v>927</v>
      </c>
      <c r="H55" s="1315" t="s">
        <v>827</v>
      </c>
      <c r="I55" s="1315" t="s">
        <v>28</v>
      </c>
      <c r="J55" s="1395" t="s">
        <v>854</v>
      </c>
    </row>
    <row r="56" spans="1:10" x14ac:dyDescent="0.25">
      <c r="A56" s="1418" t="s">
        <v>928</v>
      </c>
      <c r="B56" s="1417" t="s">
        <v>825</v>
      </c>
      <c r="C56" s="1407" t="s">
        <v>826</v>
      </c>
      <c r="D56" s="1388" t="s">
        <v>28</v>
      </c>
      <c r="E56" s="1389">
        <v>55</v>
      </c>
      <c r="F56" s="1402">
        <v>6.6</v>
      </c>
      <c r="G56" s="1394" t="s">
        <v>832</v>
      </c>
      <c r="H56" s="1315" t="s">
        <v>827</v>
      </c>
      <c r="I56" s="1315" t="s">
        <v>28</v>
      </c>
      <c r="J56" s="1423" t="s">
        <v>833</v>
      </c>
    </row>
    <row r="57" spans="1:10" x14ac:dyDescent="0.25">
      <c r="A57" s="1416" t="s">
        <v>929</v>
      </c>
      <c r="B57" s="1417" t="s">
        <v>548</v>
      </c>
      <c r="C57" s="1407" t="s">
        <v>826</v>
      </c>
      <c r="D57" s="1388" t="s">
        <v>28</v>
      </c>
      <c r="E57" s="1389">
        <v>56</v>
      </c>
      <c r="F57" s="1402">
        <v>7.1</v>
      </c>
      <c r="G57" s="1394" t="s">
        <v>825</v>
      </c>
      <c r="H57" s="1315" t="s">
        <v>827</v>
      </c>
      <c r="I57" s="1315" t="s">
        <v>28</v>
      </c>
      <c r="J57" s="1395" t="s">
        <v>828</v>
      </c>
    </row>
    <row r="58" spans="1:10" x14ac:dyDescent="0.25">
      <c r="A58" s="1418" t="s">
        <v>930</v>
      </c>
      <c r="B58" s="1417" t="s">
        <v>825</v>
      </c>
      <c r="C58" s="1388" t="s">
        <v>826</v>
      </c>
      <c r="D58" s="1388" t="s">
        <v>28</v>
      </c>
      <c r="E58" s="1389">
        <v>57</v>
      </c>
      <c r="F58" s="1390" t="s">
        <v>773</v>
      </c>
      <c r="G58" s="1394" t="s">
        <v>931</v>
      </c>
      <c r="H58" s="1315" t="s">
        <v>827</v>
      </c>
      <c r="I58" s="1315" t="s">
        <v>28</v>
      </c>
      <c r="J58" s="1395" t="s">
        <v>864</v>
      </c>
    </row>
    <row r="59" spans="1:10" x14ac:dyDescent="0.25">
      <c r="A59" s="1416" t="s">
        <v>932</v>
      </c>
      <c r="B59" s="1417" t="s">
        <v>548</v>
      </c>
      <c r="C59" s="1388" t="s">
        <v>826</v>
      </c>
      <c r="D59" s="1388" t="s">
        <v>28</v>
      </c>
      <c r="E59" s="1389">
        <v>58</v>
      </c>
      <c r="F59" s="1390" t="s">
        <v>775</v>
      </c>
      <c r="G59" s="1394" t="s">
        <v>933</v>
      </c>
      <c r="H59" s="1315" t="s">
        <v>827</v>
      </c>
      <c r="I59" s="1315" t="s">
        <v>28</v>
      </c>
      <c r="J59" s="1395" t="s">
        <v>934</v>
      </c>
    </row>
    <row r="60" spans="1:10" x14ac:dyDescent="0.25">
      <c r="A60" s="1418">
        <v>7.5</v>
      </c>
      <c r="B60" s="1417" t="s">
        <v>825</v>
      </c>
      <c r="C60" s="1388" t="s">
        <v>826</v>
      </c>
      <c r="D60" s="1388" t="s">
        <v>28</v>
      </c>
      <c r="E60" s="1389">
        <v>59</v>
      </c>
      <c r="F60" s="1390" t="s">
        <v>776</v>
      </c>
      <c r="G60" s="1394" t="s">
        <v>825</v>
      </c>
      <c r="H60" s="1315" t="s">
        <v>827</v>
      </c>
      <c r="I60" s="1315" t="s">
        <v>28</v>
      </c>
      <c r="J60" s="1395" t="s">
        <v>828</v>
      </c>
    </row>
    <row r="61" spans="1:10" x14ac:dyDescent="0.25">
      <c r="A61" s="1418">
        <v>7.6</v>
      </c>
      <c r="B61" s="1417" t="s">
        <v>825</v>
      </c>
      <c r="C61" s="1388" t="s">
        <v>826</v>
      </c>
      <c r="D61" s="1388" t="s">
        <v>28</v>
      </c>
      <c r="E61" s="1389">
        <v>60</v>
      </c>
      <c r="F61" s="1390" t="s">
        <v>778</v>
      </c>
      <c r="G61" s="1394" t="s">
        <v>548</v>
      </c>
      <c r="H61" s="1315" t="s">
        <v>827</v>
      </c>
      <c r="I61" s="1315" t="s">
        <v>28</v>
      </c>
      <c r="J61" s="1395" t="s">
        <v>548</v>
      </c>
    </row>
    <row r="62" spans="1:10" x14ac:dyDescent="0.25">
      <c r="A62" s="1418">
        <v>7.7</v>
      </c>
      <c r="B62" s="1417" t="s">
        <v>825</v>
      </c>
      <c r="C62" s="1388" t="s">
        <v>826</v>
      </c>
      <c r="D62" s="1388" t="s">
        <v>28</v>
      </c>
      <c r="E62" s="1389">
        <v>61</v>
      </c>
      <c r="F62" s="1390" t="s">
        <v>779</v>
      </c>
      <c r="G62" s="1394" t="s">
        <v>825</v>
      </c>
      <c r="H62" s="1315" t="s">
        <v>827</v>
      </c>
      <c r="I62" s="1315" t="s">
        <v>28</v>
      </c>
      <c r="J62" s="1395" t="s">
        <v>828</v>
      </c>
    </row>
    <row r="63" spans="1:10" x14ac:dyDescent="0.25">
      <c r="A63" s="1418">
        <v>7.8</v>
      </c>
      <c r="B63" s="1417" t="s">
        <v>825</v>
      </c>
      <c r="C63" s="1388" t="s">
        <v>826</v>
      </c>
      <c r="D63" s="1388" t="s">
        <v>28</v>
      </c>
      <c r="E63" s="1389">
        <v>62</v>
      </c>
      <c r="F63" s="1390" t="s">
        <v>781</v>
      </c>
      <c r="G63" s="1394" t="s">
        <v>548</v>
      </c>
      <c r="H63" s="1315" t="s">
        <v>827</v>
      </c>
      <c r="I63" s="1315" t="s">
        <v>28</v>
      </c>
      <c r="J63" s="1395" t="s">
        <v>548</v>
      </c>
    </row>
    <row r="64" spans="1:10" x14ac:dyDescent="0.25">
      <c r="A64" s="1424" t="s">
        <v>935</v>
      </c>
      <c r="B64" s="1417" t="s">
        <v>825</v>
      </c>
      <c r="C64" s="1388" t="s">
        <v>826</v>
      </c>
      <c r="D64" s="1388" t="s">
        <v>28</v>
      </c>
      <c r="E64" s="1389">
        <v>63</v>
      </c>
      <c r="F64" s="1402">
        <v>7.5</v>
      </c>
      <c r="G64" s="1394" t="s">
        <v>825</v>
      </c>
      <c r="H64" s="1315" t="s">
        <v>827</v>
      </c>
      <c r="I64" s="1315" t="s">
        <v>28</v>
      </c>
      <c r="J64" s="1395" t="s">
        <v>828</v>
      </c>
    </row>
    <row r="65" spans="1:10" x14ac:dyDescent="0.25">
      <c r="A65" s="1418" t="s">
        <v>936</v>
      </c>
      <c r="B65" s="1417" t="s">
        <v>825</v>
      </c>
      <c r="C65" s="1388" t="s">
        <v>826</v>
      </c>
      <c r="D65" s="1388" t="s">
        <v>28</v>
      </c>
      <c r="E65" s="1389">
        <v>64</v>
      </c>
      <c r="F65" s="1402">
        <v>7.6</v>
      </c>
      <c r="G65" s="1394" t="s">
        <v>825</v>
      </c>
      <c r="H65" s="1315" t="s">
        <v>827</v>
      </c>
      <c r="I65" s="1315" t="s">
        <v>28</v>
      </c>
      <c r="J65" s="1395" t="s">
        <v>828</v>
      </c>
    </row>
    <row r="66" spans="1:10" x14ac:dyDescent="0.25">
      <c r="A66" s="1418" t="s">
        <v>937</v>
      </c>
      <c r="B66" s="1417" t="s">
        <v>825</v>
      </c>
      <c r="C66" s="1388" t="s">
        <v>826</v>
      </c>
      <c r="D66" s="1388" t="s">
        <v>28</v>
      </c>
      <c r="E66" s="1389">
        <v>65</v>
      </c>
      <c r="F66" s="1402">
        <v>7.7</v>
      </c>
      <c r="G66" s="1394" t="s">
        <v>825</v>
      </c>
      <c r="H66" s="1315" t="s">
        <v>827</v>
      </c>
      <c r="I66" s="1315" t="s">
        <v>28</v>
      </c>
      <c r="J66" s="1395" t="s">
        <v>828</v>
      </c>
    </row>
    <row r="67" spans="1:10" x14ac:dyDescent="0.25">
      <c r="A67" s="1418" t="s">
        <v>787</v>
      </c>
      <c r="B67" s="1417" t="s">
        <v>825</v>
      </c>
      <c r="C67" s="1388" t="s">
        <v>826</v>
      </c>
      <c r="D67" s="1388" t="s">
        <v>28</v>
      </c>
      <c r="E67" s="1389">
        <v>66</v>
      </c>
      <c r="F67" s="1402">
        <v>7.8</v>
      </c>
      <c r="G67" s="1394" t="s">
        <v>825</v>
      </c>
      <c r="H67" s="1315" t="s">
        <v>827</v>
      </c>
      <c r="I67" s="1315" t="s">
        <v>28</v>
      </c>
      <c r="J67" s="1395" t="s">
        <v>828</v>
      </c>
    </row>
    <row r="68" spans="1:10" x14ac:dyDescent="0.25">
      <c r="A68" s="1418">
        <v>7.11</v>
      </c>
      <c r="B68" s="1417" t="s">
        <v>825</v>
      </c>
      <c r="C68" s="1388" t="s">
        <v>826</v>
      </c>
      <c r="D68" s="1388" t="s">
        <v>28</v>
      </c>
      <c r="E68" s="1389">
        <v>67</v>
      </c>
      <c r="F68" s="1402">
        <v>7.9</v>
      </c>
      <c r="G68" s="1394" t="s">
        <v>825</v>
      </c>
      <c r="H68" s="1315" t="s">
        <v>827</v>
      </c>
      <c r="I68" s="1315" t="s">
        <v>28</v>
      </c>
      <c r="J68" s="1395" t="s">
        <v>828</v>
      </c>
    </row>
    <row r="69" spans="1:10" x14ac:dyDescent="0.25">
      <c r="A69" s="1418">
        <v>7.12</v>
      </c>
      <c r="B69" s="1417" t="s">
        <v>825</v>
      </c>
      <c r="C69" s="1407" t="s">
        <v>826</v>
      </c>
      <c r="D69" s="1388" t="s">
        <v>28</v>
      </c>
      <c r="E69" s="1389">
        <v>68</v>
      </c>
      <c r="F69" s="1406" t="s">
        <v>787</v>
      </c>
      <c r="G69" s="1394" t="s">
        <v>825</v>
      </c>
      <c r="H69" s="1315" t="s">
        <v>827</v>
      </c>
      <c r="I69" s="1315" t="s">
        <v>28</v>
      </c>
      <c r="J69" s="1395" t="s">
        <v>828</v>
      </c>
    </row>
    <row r="70" spans="1:10" x14ac:dyDescent="0.25">
      <c r="A70" s="1418">
        <v>7.13</v>
      </c>
      <c r="B70" s="1417" t="s">
        <v>938</v>
      </c>
      <c r="C70" s="1407" t="s">
        <v>826</v>
      </c>
      <c r="D70" s="1388" t="s">
        <v>28</v>
      </c>
      <c r="E70" s="1389">
        <v>69</v>
      </c>
      <c r="F70" s="1402">
        <v>7.11</v>
      </c>
      <c r="G70" s="1394" t="s">
        <v>825</v>
      </c>
      <c r="H70" s="1315" t="s">
        <v>827</v>
      </c>
      <c r="I70" s="1315" t="s">
        <v>28</v>
      </c>
      <c r="J70" s="1395" t="s">
        <v>828</v>
      </c>
    </row>
    <row r="71" spans="1:10" x14ac:dyDescent="0.25">
      <c r="A71" s="1418">
        <v>7.14</v>
      </c>
      <c r="B71" s="1417" t="s">
        <v>825</v>
      </c>
      <c r="C71" s="1407" t="s">
        <v>826</v>
      </c>
      <c r="D71" s="1388" t="s">
        <v>28</v>
      </c>
      <c r="E71" s="1389">
        <v>70</v>
      </c>
      <c r="F71" s="1402">
        <v>7.12</v>
      </c>
      <c r="G71" s="1394" t="s">
        <v>825</v>
      </c>
      <c r="H71" s="1315" t="s">
        <v>827</v>
      </c>
      <c r="I71" s="1315" t="s">
        <v>28</v>
      </c>
      <c r="J71" s="1395" t="s">
        <v>828</v>
      </c>
    </row>
    <row r="72" spans="1:10" x14ac:dyDescent="0.25">
      <c r="A72" s="1418">
        <v>7.15</v>
      </c>
      <c r="B72" s="1417" t="s">
        <v>825</v>
      </c>
      <c r="C72" s="1388" t="s">
        <v>826</v>
      </c>
      <c r="D72" s="1388" t="s">
        <v>28</v>
      </c>
      <c r="E72" s="1389">
        <v>71</v>
      </c>
      <c r="F72" s="1390" t="s">
        <v>791</v>
      </c>
      <c r="G72" s="1394" t="s">
        <v>825</v>
      </c>
      <c r="H72" s="1315" t="s">
        <v>827</v>
      </c>
      <c r="I72" s="1315" t="s">
        <v>28</v>
      </c>
      <c r="J72" s="1395" t="s">
        <v>828</v>
      </c>
    </row>
    <row r="73" spans="1:10" x14ac:dyDescent="0.25">
      <c r="A73" s="1418">
        <v>7.16</v>
      </c>
      <c r="B73" s="1417" t="s">
        <v>825</v>
      </c>
      <c r="C73" s="1388" t="s">
        <v>826</v>
      </c>
      <c r="D73" s="1388" t="s">
        <v>28</v>
      </c>
      <c r="E73" s="1389">
        <v>72</v>
      </c>
      <c r="F73" s="1390" t="s">
        <v>793</v>
      </c>
      <c r="G73" s="1394" t="s">
        <v>939</v>
      </c>
      <c r="H73" s="1315" t="s">
        <v>827</v>
      </c>
      <c r="I73" s="1315" t="s">
        <v>28</v>
      </c>
      <c r="J73" s="1395" t="s">
        <v>940</v>
      </c>
    </row>
    <row r="74" spans="1:10" x14ac:dyDescent="0.25">
      <c r="A74" s="1421">
        <v>7.17</v>
      </c>
      <c r="B74" s="1422" t="s">
        <v>889</v>
      </c>
      <c r="C74" s="1407" t="s">
        <v>826</v>
      </c>
      <c r="D74" s="1388" t="s">
        <v>28</v>
      </c>
      <c r="E74" s="1389">
        <v>73</v>
      </c>
      <c r="F74" s="1402">
        <v>7.14</v>
      </c>
      <c r="G74" s="1394" t="s">
        <v>825</v>
      </c>
      <c r="H74" s="1315" t="s">
        <v>827</v>
      </c>
      <c r="I74" s="1315" t="s">
        <v>28</v>
      </c>
      <c r="J74" s="1395" t="s">
        <v>828</v>
      </c>
    </row>
    <row r="75" spans="1:10" x14ac:dyDescent="0.25">
      <c r="A75" s="1414" t="s">
        <v>941</v>
      </c>
      <c r="B75" s="1415" t="s">
        <v>825</v>
      </c>
      <c r="C75" s="1407" t="s">
        <v>826</v>
      </c>
      <c r="D75" s="1388" t="s">
        <v>28</v>
      </c>
      <c r="E75" s="1389">
        <v>74</v>
      </c>
      <c r="F75" s="1402">
        <v>7.15</v>
      </c>
      <c r="G75" s="1394" t="s">
        <v>825</v>
      </c>
      <c r="H75" s="1315" t="s">
        <v>827</v>
      </c>
      <c r="I75" s="1315" t="s">
        <v>28</v>
      </c>
      <c r="J75" s="1395" t="s">
        <v>828</v>
      </c>
    </row>
    <row r="76" spans="1:10" x14ac:dyDescent="0.25">
      <c r="A76" s="1418" t="s">
        <v>942</v>
      </c>
      <c r="B76" s="1417" t="s">
        <v>825</v>
      </c>
      <c r="C76" s="1388" t="s">
        <v>826</v>
      </c>
      <c r="D76" s="1388" t="s">
        <v>28</v>
      </c>
      <c r="E76" s="1389">
        <v>75</v>
      </c>
      <c r="F76" s="1402">
        <v>7.16</v>
      </c>
      <c r="G76" s="1394" t="s">
        <v>825</v>
      </c>
      <c r="H76" s="1315" t="s">
        <v>827</v>
      </c>
      <c r="I76" s="1315" t="s">
        <v>28</v>
      </c>
      <c r="J76" s="1395" t="s">
        <v>828</v>
      </c>
    </row>
    <row r="77" spans="1:10" x14ac:dyDescent="0.25">
      <c r="A77" s="1418" t="s">
        <v>943</v>
      </c>
      <c r="B77" s="1417" t="s">
        <v>825</v>
      </c>
      <c r="C77" s="1388" t="s">
        <v>826</v>
      </c>
      <c r="D77" s="1388" t="s">
        <v>28</v>
      </c>
      <c r="E77" s="1389">
        <v>76</v>
      </c>
      <c r="F77" s="1402">
        <v>7.17</v>
      </c>
      <c r="G77" s="1394" t="s">
        <v>825</v>
      </c>
      <c r="H77" s="1315" t="s">
        <v>827</v>
      </c>
      <c r="I77" s="1315" t="s">
        <v>28</v>
      </c>
      <c r="J77" s="1395" t="s">
        <v>828</v>
      </c>
    </row>
    <row r="78" spans="1:10" x14ac:dyDescent="0.25">
      <c r="A78" s="1425" t="s">
        <v>944</v>
      </c>
      <c r="B78" s="1426" t="s">
        <v>889</v>
      </c>
      <c r="C78" s="1388" t="s">
        <v>826</v>
      </c>
      <c r="D78" s="1388" t="s">
        <v>28</v>
      </c>
      <c r="E78" s="1389">
        <v>77</v>
      </c>
      <c r="F78" s="1390" t="s">
        <v>800</v>
      </c>
      <c r="G78" s="1394" t="s">
        <v>825</v>
      </c>
      <c r="H78" s="1315" t="s">
        <v>827</v>
      </c>
      <c r="I78" s="1315" t="s">
        <v>28</v>
      </c>
      <c r="J78" s="1427" t="s">
        <v>828</v>
      </c>
    </row>
    <row r="79" spans="1:10" s="1095" customFormat="1" ht="15.75" thickBot="1" x14ac:dyDescent="0.3">
      <c r="A79" s="1428" t="s">
        <v>945</v>
      </c>
      <c r="B79" s="1429" t="s">
        <v>834</v>
      </c>
      <c r="C79" s="1429" t="s">
        <v>826</v>
      </c>
      <c r="D79" s="1429" t="s">
        <v>28</v>
      </c>
      <c r="E79" s="1389">
        <v>78</v>
      </c>
      <c r="F79" s="1269" t="s">
        <v>802</v>
      </c>
      <c r="G79" s="1394" t="s">
        <v>889</v>
      </c>
      <c r="H79" s="1315" t="s">
        <v>827</v>
      </c>
      <c r="I79" s="1315" t="s">
        <v>28</v>
      </c>
      <c r="J79" s="1269" t="s">
        <v>890</v>
      </c>
    </row>
    <row r="80" spans="1:10" ht="15.75" thickTop="1" x14ac:dyDescent="0.25">
      <c r="A80" s="1430">
        <v>1.1000000000000001</v>
      </c>
      <c r="B80" s="1431" t="s">
        <v>825</v>
      </c>
      <c r="C80" s="1432" t="s">
        <v>826</v>
      </c>
      <c r="D80" s="1388" t="s">
        <v>946</v>
      </c>
      <c r="E80" s="1389">
        <v>79</v>
      </c>
      <c r="F80" s="1402">
        <v>8.1999999999999993</v>
      </c>
      <c r="G80" s="1401" t="s">
        <v>947</v>
      </c>
      <c r="H80" s="1315" t="s">
        <v>827</v>
      </c>
      <c r="I80" s="1315" t="s">
        <v>28</v>
      </c>
      <c r="J80" s="1433" t="s">
        <v>948</v>
      </c>
    </row>
    <row r="81" spans="1:10" x14ac:dyDescent="0.25">
      <c r="A81" s="1396">
        <v>1.2</v>
      </c>
      <c r="B81" s="1397" t="s">
        <v>829</v>
      </c>
      <c r="C81" s="1434" t="s">
        <v>826</v>
      </c>
      <c r="D81" s="1388" t="s">
        <v>946</v>
      </c>
      <c r="E81" s="1389">
        <v>80</v>
      </c>
      <c r="F81" s="1402">
        <v>8.3000000000000007</v>
      </c>
      <c r="G81" s="1394" t="s">
        <v>825</v>
      </c>
      <c r="H81" s="1315" t="s">
        <v>827</v>
      </c>
      <c r="I81" s="1315" t="s">
        <v>28</v>
      </c>
      <c r="J81" s="1395" t="s">
        <v>828</v>
      </c>
    </row>
    <row r="82" spans="1:10" x14ac:dyDescent="0.25">
      <c r="A82" s="1398">
        <v>2.1</v>
      </c>
      <c r="B82" s="1393" t="s">
        <v>825</v>
      </c>
      <c r="C82" s="1434" t="s">
        <v>826</v>
      </c>
      <c r="D82" s="1388" t="s">
        <v>946</v>
      </c>
      <c r="E82" s="1389">
        <v>81</v>
      </c>
      <c r="F82" s="1402">
        <v>8.4</v>
      </c>
      <c r="G82" s="1394" t="s">
        <v>949</v>
      </c>
      <c r="H82" s="1315" t="s">
        <v>827</v>
      </c>
      <c r="I82" s="1315" t="s">
        <v>28</v>
      </c>
      <c r="J82" s="1395" t="s">
        <v>950</v>
      </c>
    </row>
    <row r="83" spans="1:10" ht="15.75" thickBot="1" x14ac:dyDescent="0.3">
      <c r="A83" s="1399">
        <v>2.2000000000000002</v>
      </c>
      <c r="B83" s="1400" t="s">
        <v>548</v>
      </c>
      <c r="C83" s="1434" t="s">
        <v>826</v>
      </c>
      <c r="D83" s="1388" t="s">
        <v>946</v>
      </c>
      <c r="E83" s="1389">
        <v>82</v>
      </c>
      <c r="F83" s="1435">
        <v>8.5</v>
      </c>
      <c r="G83" s="1394" t="s">
        <v>825</v>
      </c>
      <c r="H83" s="1436" t="s">
        <v>827</v>
      </c>
      <c r="I83" s="1437" t="s">
        <v>28</v>
      </c>
      <c r="J83" s="1438" t="s">
        <v>828</v>
      </c>
    </row>
    <row r="84" spans="1:10" ht="15.75" thickTop="1" x14ac:dyDescent="0.25">
      <c r="A84" s="1399">
        <v>2.2999999999999998</v>
      </c>
      <c r="B84" s="1400" t="s">
        <v>825</v>
      </c>
      <c r="C84" s="1434" t="s">
        <v>826</v>
      </c>
      <c r="D84" s="1388" t="s">
        <v>946</v>
      </c>
      <c r="E84" s="1389">
        <v>83</v>
      </c>
      <c r="F84" s="1390" t="s">
        <v>684</v>
      </c>
      <c r="G84" s="1401" t="s">
        <v>825</v>
      </c>
      <c r="H84" s="714" t="s">
        <v>827</v>
      </c>
      <c r="I84" s="714" t="s">
        <v>951</v>
      </c>
      <c r="J84" s="1433" t="s">
        <v>828</v>
      </c>
    </row>
    <row r="85" spans="1:10" x14ac:dyDescent="0.25">
      <c r="A85" s="1399">
        <v>2.4</v>
      </c>
      <c r="B85" s="1400" t="s">
        <v>837</v>
      </c>
      <c r="C85" s="1434" t="s">
        <v>826</v>
      </c>
      <c r="D85" s="1388" t="s">
        <v>946</v>
      </c>
      <c r="E85" s="1389">
        <v>84</v>
      </c>
      <c r="F85" s="1390" t="s">
        <v>686</v>
      </c>
      <c r="G85" s="1394" t="s">
        <v>830</v>
      </c>
      <c r="H85" s="714" t="s">
        <v>827</v>
      </c>
      <c r="I85" s="714" t="s">
        <v>951</v>
      </c>
      <c r="J85" s="1395" t="s">
        <v>831</v>
      </c>
    </row>
    <row r="86" spans="1:10" x14ac:dyDescent="0.25">
      <c r="A86" s="1399">
        <v>2.5</v>
      </c>
      <c r="B86" s="1400" t="s">
        <v>840</v>
      </c>
      <c r="C86" s="1434" t="s">
        <v>826</v>
      </c>
      <c r="D86" s="1388" t="s">
        <v>946</v>
      </c>
      <c r="E86" s="1389">
        <v>85</v>
      </c>
      <c r="F86" s="1402">
        <v>1.2</v>
      </c>
      <c r="G86" s="1401" t="s">
        <v>952</v>
      </c>
      <c r="H86" s="714" t="s">
        <v>827</v>
      </c>
      <c r="I86" s="714" t="s">
        <v>951</v>
      </c>
      <c r="J86" s="1395" t="s">
        <v>833</v>
      </c>
    </row>
    <row r="87" spans="1:10" x14ac:dyDescent="0.25">
      <c r="A87" s="1399">
        <v>2.6</v>
      </c>
      <c r="B87" s="1400" t="s">
        <v>841</v>
      </c>
      <c r="C87" s="1434" t="s">
        <v>826</v>
      </c>
      <c r="D87" s="1388" t="s">
        <v>946</v>
      </c>
      <c r="E87" s="1389">
        <v>86</v>
      </c>
      <c r="F87" s="1390" t="s">
        <v>689</v>
      </c>
      <c r="G87" s="1401" t="s">
        <v>825</v>
      </c>
      <c r="H87" s="714" t="s">
        <v>827</v>
      </c>
      <c r="I87" s="714" t="s">
        <v>951</v>
      </c>
      <c r="J87" s="1395" t="s">
        <v>828</v>
      </c>
    </row>
    <row r="88" spans="1:10" x14ac:dyDescent="0.25">
      <c r="A88" s="1403" t="s">
        <v>842</v>
      </c>
      <c r="B88" s="1400" t="s">
        <v>548</v>
      </c>
      <c r="C88" s="1434" t="s">
        <v>826</v>
      </c>
      <c r="D88" s="1388" t="s">
        <v>946</v>
      </c>
      <c r="E88" s="1389">
        <v>87</v>
      </c>
      <c r="F88" s="1390" t="s">
        <v>691</v>
      </c>
      <c r="G88" s="1401" t="s">
        <v>835</v>
      </c>
      <c r="H88" s="714" t="s">
        <v>827</v>
      </c>
      <c r="I88" s="714" t="s">
        <v>951</v>
      </c>
      <c r="J88" s="1395" t="s">
        <v>836</v>
      </c>
    </row>
    <row r="89" spans="1:10" x14ac:dyDescent="0.25">
      <c r="A89" s="1399" t="s">
        <v>843</v>
      </c>
      <c r="B89" s="1400" t="s">
        <v>844</v>
      </c>
      <c r="C89" s="1434" t="s">
        <v>826</v>
      </c>
      <c r="D89" s="1388" t="s">
        <v>946</v>
      </c>
      <c r="E89" s="1389">
        <v>88</v>
      </c>
      <c r="F89" s="1402">
        <v>1.4</v>
      </c>
      <c r="G89" s="1401" t="s">
        <v>838</v>
      </c>
      <c r="H89" s="714" t="s">
        <v>827</v>
      </c>
      <c r="I89" s="714" t="s">
        <v>951</v>
      </c>
      <c r="J89" s="1395" t="s">
        <v>839</v>
      </c>
    </row>
    <row r="90" spans="1:10" x14ac:dyDescent="0.25">
      <c r="A90" s="1399">
        <v>2.8</v>
      </c>
      <c r="B90" s="1400" t="s">
        <v>846</v>
      </c>
      <c r="C90" s="1434" t="s">
        <v>826</v>
      </c>
      <c r="D90" s="1388" t="s">
        <v>946</v>
      </c>
      <c r="E90" s="1389">
        <v>89</v>
      </c>
      <c r="F90" s="1402">
        <v>2.1</v>
      </c>
      <c r="G90" s="1401" t="s">
        <v>825</v>
      </c>
      <c r="H90" s="714" t="s">
        <v>827</v>
      </c>
      <c r="I90" s="714" t="s">
        <v>951</v>
      </c>
      <c r="J90" s="1395" t="s">
        <v>828</v>
      </c>
    </row>
    <row r="91" spans="1:10" x14ac:dyDescent="0.25">
      <c r="A91" s="1399">
        <v>2.9</v>
      </c>
      <c r="B91" s="1400" t="s">
        <v>849</v>
      </c>
      <c r="C91" s="1434" t="s">
        <v>826</v>
      </c>
      <c r="D91" s="1388" t="s">
        <v>946</v>
      </c>
      <c r="E91" s="1389">
        <v>90</v>
      </c>
      <c r="F91" s="1402">
        <v>2.2000000000000002</v>
      </c>
      <c r="G91" s="1401" t="s">
        <v>548</v>
      </c>
      <c r="H91" s="714" t="s">
        <v>827</v>
      </c>
      <c r="I91" s="714" t="s">
        <v>951</v>
      </c>
      <c r="J91" s="1395" t="s">
        <v>548</v>
      </c>
    </row>
    <row r="92" spans="1:10" x14ac:dyDescent="0.25">
      <c r="A92" s="1404" t="s">
        <v>708</v>
      </c>
      <c r="B92" s="1397" t="s">
        <v>841</v>
      </c>
      <c r="C92" s="1434" t="s">
        <v>826</v>
      </c>
      <c r="D92" s="1388" t="s">
        <v>946</v>
      </c>
      <c r="E92" s="1389">
        <v>91</v>
      </c>
      <c r="F92" s="1402">
        <v>2.2999999999999998</v>
      </c>
      <c r="G92" s="1401" t="s">
        <v>825</v>
      </c>
      <c r="H92" s="714" t="s">
        <v>827</v>
      </c>
      <c r="I92" s="714" t="s">
        <v>951</v>
      </c>
      <c r="J92" s="1395" t="s">
        <v>828</v>
      </c>
    </row>
    <row r="93" spans="1:10" x14ac:dyDescent="0.25">
      <c r="A93" s="1398" t="s">
        <v>850</v>
      </c>
      <c r="B93" s="1393" t="s">
        <v>825</v>
      </c>
      <c r="C93" s="1434" t="s">
        <v>826</v>
      </c>
      <c r="D93" s="1388" t="s">
        <v>946</v>
      </c>
      <c r="E93" s="1389">
        <v>92</v>
      </c>
      <c r="F93" s="1402">
        <v>2.4</v>
      </c>
      <c r="G93" s="1401" t="s">
        <v>837</v>
      </c>
      <c r="H93" s="714" t="s">
        <v>827</v>
      </c>
      <c r="I93" s="714" t="s">
        <v>951</v>
      </c>
      <c r="J93" s="1395" t="s">
        <v>845</v>
      </c>
    </row>
    <row r="94" spans="1:10" x14ac:dyDescent="0.25">
      <c r="A94" s="1399" t="s">
        <v>853</v>
      </c>
      <c r="B94" s="1400" t="s">
        <v>825</v>
      </c>
      <c r="C94" s="1434" t="s">
        <v>826</v>
      </c>
      <c r="D94" s="1388" t="s">
        <v>946</v>
      </c>
      <c r="E94" s="1389">
        <v>93</v>
      </c>
      <c r="F94" s="1402">
        <v>2.5</v>
      </c>
      <c r="G94" s="1401" t="s">
        <v>953</v>
      </c>
      <c r="H94" s="714" t="s">
        <v>827</v>
      </c>
      <c r="I94" s="714" t="s">
        <v>951</v>
      </c>
      <c r="J94" s="1395" t="s">
        <v>848</v>
      </c>
    </row>
    <row r="95" spans="1:10" x14ac:dyDescent="0.25">
      <c r="A95" s="1399" t="s">
        <v>714</v>
      </c>
      <c r="B95" s="1405" t="s">
        <v>855</v>
      </c>
      <c r="C95" s="1434" t="s">
        <v>826</v>
      </c>
      <c r="D95" s="1388" t="s">
        <v>946</v>
      </c>
      <c r="E95" s="1389">
        <v>94</v>
      </c>
      <c r="F95" s="1402">
        <v>2.6</v>
      </c>
      <c r="G95" s="1401" t="s">
        <v>825</v>
      </c>
      <c r="H95" s="714" t="s">
        <v>827</v>
      </c>
      <c r="I95" s="714" t="s">
        <v>951</v>
      </c>
      <c r="J95" s="1395" t="s">
        <v>828</v>
      </c>
    </row>
    <row r="96" spans="1:10" x14ac:dyDescent="0.25">
      <c r="A96" s="1399" t="s">
        <v>715</v>
      </c>
      <c r="B96" s="1400" t="s">
        <v>837</v>
      </c>
      <c r="C96" s="1434" t="s">
        <v>826</v>
      </c>
      <c r="D96" s="1388" t="s">
        <v>946</v>
      </c>
      <c r="E96" s="1389">
        <v>95</v>
      </c>
      <c r="F96" s="1390" t="s">
        <v>702</v>
      </c>
      <c r="G96" s="1401" t="s">
        <v>825</v>
      </c>
      <c r="H96" s="740" t="s">
        <v>827</v>
      </c>
      <c r="I96" s="714" t="s">
        <v>951</v>
      </c>
      <c r="J96" s="1395" t="s">
        <v>828</v>
      </c>
    </row>
    <row r="97" spans="1:10" x14ac:dyDescent="0.25">
      <c r="A97" s="1399" t="s">
        <v>716</v>
      </c>
      <c r="B97" s="1400" t="s">
        <v>857</v>
      </c>
      <c r="C97" s="1434" t="s">
        <v>826</v>
      </c>
      <c r="D97" s="1388" t="s">
        <v>946</v>
      </c>
      <c r="E97" s="1389">
        <v>96</v>
      </c>
      <c r="F97" s="1390" t="s">
        <v>704</v>
      </c>
      <c r="G97" s="1394" t="s">
        <v>851</v>
      </c>
      <c r="H97" s="740" t="s">
        <v>827</v>
      </c>
      <c r="I97" s="714" t="s">
        <v>951</v>
      </c>
      <c r="J97" s="1395" t="s">
        <v>852</v>
      </c>
    </row>
    <row r="98" spans="1:10" x14ac:dyDescent="0.25">
      <c r="A98" s="1399" t="s">
        <v>858</v>
      </c>
      <c r="B98" s="1405" t="s">
        <v>859</v>
      </c>
      <c r="C98" s="1434" t="s">
        <v>826</v>
      </c>
      <c r="D98" s="1388" t="s">
        <v>946</v>
      </c>
      <c r="E98" s="1389">
        <v>97</v>
      </c>
      <c r="F98" s="1402">
        <v>2.8</v>
      </c>
      <c r="G98" s="1401" t="s">
        <v>954</v>
      </c>
      <c r="H98" s="714" t="s">
        <v>827</v>
      </c>
      <c r="I98" s="714" t="s">
        <v>951</v>
      </c>
      <c r="J98" s="1395" t="s">
        <v>955</v>
      </c>
    </row>
    <row r="99" spans="1:10" x14ac:dyDescent="0.25">
      <c r="A99" s="1399" t="s">
        <v>860</v>
      </c>
      <c r="B99" s="1400" t="s">
        <v>861</v>
      </c>
      <c r="C99" s="1434" t="s">
        <v>826</v>
      </c>
      <c r="D99" s="1388" t="s">
        <v>946</v>
      </c>
      <c r="E99" s="1389">
        <v>98</v>
      </c>
      <c r="F99" s="1402">
        <v>2.9</v>
      </c>
      <c r="G99" s="1401" t="s">
        <v>837</v>
      </c>
      <c r="H99" s="714" t="s">
        <v>827</v>
      </c>
      <c r="I99" s="714" t="s">
        <v>951</v>
      </c>
      <c r="J99" s="1395" t="s">
        <v>845</v>
      </c>
    </row>
    <row r="100" spans="1:10" x14ac:dyDescent="0.25">
      <c r="A100" s="1399" t="s">
        <v>865</v>
      </c>
      <c r="B100" s="1397" t="s">
        <v>825</v>
      </c>
      <c r="C100" s="1434" t="s">
        <v>826</v>
      </c>
      <c r="D100" s="1388" t="s">
        <v>946</v>
      </c>
      <c r="E100" s="1389">
        <v>99</v>
      </c>
      <c r="F100" s="1406" t="s">
        <v>708</v>
      </c>
      <c r="G100" s="1401" t="s">
        <v>841</v>
      </c>
      <c r="H100" s="714" t="s">
        <v>827</v>
      </c>
      <c r="I100" s="714" t="s">
        <v>951</v>
      </c>
      <c r="J100" s="1395" t="s">
        <v>856</v>
      </c>
    </row>
    <row r="101" spans="1:10" x14ac:dyDescent="0.25">
      <c r="A101" s="1408" t="s">
        <v>867</v>
      </c>
      <c r="B101" s="1409" t="s">
        <v>825</v>
      </c>
      <c r="C101" s="1434" t="s">
        <v>826</v>
      </c>
      <c r="D101" s="1388" t="s">
        <v>946</v>
      </c>
      <c r="E101" s="1389">
        <v>100</v>
      </c>
      <c r="F101" s="1402">
        <v>3.1</v>
      </c>
      <c r="G101" s="1401" t="s">
        <v>825</v>
      </c>
      <c r="H101" s="714" t="s">
        <v>827</v>
      </c>
      <c r="I101" s="714" t="s">
        <v>951</v>
      </c>
      <c r="J101" s="1395" t="s">
        <v>828</v>
      </c>
    </row>
    <row r="102" spans="1:10" x14ac:dyDescent="0.25">
      <c r="A102" s="1410" t="s">
        <v>871</v>
      </c>
      <c r="B102" s="1411" t="s">
        <v>861</v>
      </c>
      <c r="C102" s="1434" t="s">
        <v>826</v>
      </c>
      <c r="D102" s="1388" t="s">
        <v>946</v>
      </c>
      <c r="E102" s="1389">
        <v>101</v>
      </c>
      <c r="F102" s="1402">
        <v>3.2</v>
      </c>
      <c r="G102" s="1401" t="s">
        <v>825</v>
      </c>
      <c r="H102" s="714" t="s">
        <v>827</v>
      </c>
      <c r="I102" s="714" t="s">
        <v>951</v>
      </c>
      <c r="J102" s="1395" t="s">
        <v>828</v>
      </c>
    </row>
    <row r="103" spans="1:10" x14ac:dyDescent="0.25">
      <c r="A103" s="1410" t="s">
        <v>873</v>
      </c>
      <c r="B103" s="1413" t="s">
        <v>874</v>
      </c>
      <c r="C103" s="1434" t="s">
        <v>826</v>
      </c>
      <c r="D103" s="1388" t="s">
        <v>946</v>
      </c>
      <c r="E103" s="1389">
        <v>102</v>
      </c>
      <c r="F103" s="1390" t="s">
        <v>862</v>
      </c>
      <c r="G103" s="1401" t="s">
        <v>956</v>
      </c>
      <c r="H103" s="740" t="s">
        <v>827</v>
      </c>
      <c r="I103" s="714" t="s">
        <v>951</v>
      </c>
      <c r="J103" s="1395" t="s">
        <v>864</v>
      </c>
    </row>
    <row r="104" spans="1:10" x14ac:dyDescent="0.25">
      <c r="A104" s="1414" t="s">
        <v>877</v>
      </c>
      <c r="B104" s="1415" t="s">
        <v>548</v>
      </c>
      <c r="C104" s="1434" t="s">
        <v>826</v>
      </c>
      <c r="D104" s="1388" t="s">
        <v>946</v>
      </c>
      <c r="E104" s="1389">
        <v>103</v>
      </c>
      <c r="F104" s="1390" t="s">
        <v>866</v>
      </c>
      <c r="G104" s="1401" t="s">
        <v>837</v>
      </c>
      <c r="H104" s="740" t="s">
        <v>827</v>
      </c>
      <c r="I104" s="714" t="s">
        <v>951</v>
      </c>
      <c r="J104" s="1395" t="s">
        <v>845</v>
      </c>
    </row>
    <row r="105" spans="1:10" x14ac:dyDescent="0.25">
      <c r="A105" s="1416" t="s">
        <v>878</v>
      </c>
      <c r="B105" s="1417" t="s">
        <v>825</v>
      </c>
      <c r="C105" s="1434" t="s">
        <v>826</v>
      </c>
      <c r="D105" s="1388" t="s">
        <v>946</v>
      </c>
      <c r="E105" s="1389">
        <v>104</v>
      </c>
      <c r="F105" s="1390" t="s">
        <v>868</v>
      </c>
      <c r="G105" s="1401" t="s">
        <v>869</v>
      </c>
      <c r="H105" s="740" t="s">
        <v>827</v>
      </c>
      <c r="I105" s="714" t="s">
        <v>951</v>
      </c>
      <c r="J105" s="1395" t="s">
        <v>870</v>
      </c>
    </row>
    <row r="106" spans="1:10" x14ac:dyDescent="0.25">
      <c r="A106" s="1418" t="s">
        <v>879</v>
      </c>
      <c r="B106" s="1417" t="s">
        <v>548</v>
      </c>
      <c r="C106" s="1434" t="s">
        <v>826</v>
      </c>
      <c r="D106" s="1388" t="s">
        <v>946</v>
      </c>
      <c r="E106" s="1389">
        <v>105</v>
      </c>
      <c r="F106" s="1402">
        <v>3.4</v>
      </c>
      <c r="G106" s="1401" t="s">
        <v>872</v>
      </c>
      <c r="H106" s="714" t="s">
        <v>827</v>
      </c>
      <c r="I106" s="714" t="s">
        <v>951</v>
      </c>
      <c r="J106" s="1395" t="s">
        <v>864</v>
      </c>
    </row>
    <row r="107" spans="1:10" x14ac:dyDescent="0.25">
      <c r="A107" s="1416" t="s">
        <v>883</v>
      </c>
      <c r="B107" s="1417" t="s">
        <v>837</v>
      </c>
      <c r="C107" s="1434" t="s">
        <v>826</v>
      </c>
      <c r="D107" s="1388" t="s">
        <v>946</v>
      </c>
      <c r="E107" s="1389">
        <v>106</v>
      </c>
      <c r="F107" s="1402">
        <v>3.5</v>
      </c>
      <c r="G107" s="1394" t="s">
        <v>875</v>
      </c>
      <c r="H107" s="714" t="s">
        <v>827</v>
      </c>
      <c r="I107" s="714" t="s">
        <v>951</v>
      </c>
      <c r="J107" s="1395" t="s">
        <v>876</v>
      </c>
    </row>
    <row r="108" spans="1:10" x14ac:dyDescent="0.25">
      <c r="A108" s="1418" t="s">
        <v>884</v>
      </c>
      <c r="B108" s="1417" t="s">
        <v>825</v>
      </c>
      <c r="C108" s="1434" t="s">
        <v>826</v>
      </c>
      <c r="D108" s="1388" t="s">
        <v>946</v>
      </c>
      <c r="E108" s="1389">
        <v>107</v>
      </c>
      <c r="F108" s="1402">
        <v>3.6</v>
      </c>
      <c r="G108" s="1401" t="s">
        <v>825</v>
      </c>
      <c r="H108" s="714" t="s">
        <v>827</v>
      </c>
      <c r="I108" s="714" t="s">
        <v>951</v>
      </c>
      <c r="J108" s="1395" t="s">
        <v>828</v>
      </c>
    </row>
    <row r="109" spans="1:10" x14ac:dyDescent="0.25">
      <c r="A109" s="1418" t="s">
        <v>887</v>
      </c>
      <c r="B109" s="1419" t="s">
        <v>888</v>
      </c>
      <c r="C109" s="1434" t="s">
        <v>826</v>
      </c>
      <c r="D109" s="1388" t="s">
        <v>946</v>
      </c>
      <c r="E109" s="1389">
        <v>108</v>
      </c>
      <c r="F109" s="1390" t="s">
        <v>723</v>
      </c>
      <c r="G109" s="1401" t="s">
        <v>825</v>
      </c>
      <c r="H109" s="740" t="s">
        <v>827</v>
      </c>
      <c r="I109" s="714" t="s">
        <v>951</v>
      </c>
      <c r="J109" s="1395" t="s">
        <v>828</v>
      </c>
    </row>
    <row r="110" spans="1:10" x14ac:dyDescent="0.25">
      <c r="A110" s="1418" t="s">
        <v>891</v>
      </c>
      <c r="B110" s="1417" t="s">
        <v>841</v>
      </c>
      <c r="C110" s="1434" t="s">
        <v>826</v>
      </c>
      <c r="D110" s="1388" t="s">
        <v>946</v>
      </c>
      <c r="E110" s="1389">
        <v>109</v>
      </c>
      <c r="F110" s="1390" t="s">
        <v>725</v>
      </c>
      <c r="G110" s="1401" t="s">
        <v>957</v>
      </c>
      <c r="H110" s="740" t="s">
        <v>827</v>
      </c>
      <c r="I110" s="714" t="s">
        <v>951</v>
      </c>
      <c r="J110" s="1395" t="s">
        <v>882</v>
      </c>
    </row>
    <row r="111" spans="1:10" x14ac:dyDescent="0.25">
      <c r="A111" s="1418" t="s">
        <v>892</v>
      </c>
      <c r="B111" s="1417" t="s">
        <v>825</v>
      </c>
      <c r="C111" s="1434" t="s">
        <v>826</v>
      </c>
      <c r="D111" s="1388" t="s">
        <v>946</v>
      </c>
      <c r="E111" s="1389">
        <v>110</v>
      </c>
      <c r="F111" s="1402">
        <v>4.2</v>
      </c>
      <c r="G111" s="1401" t="s">
        <v>926</v>
      </c>
      <c r="H111" s="714" t="s">
        <v>827</v>
      </c>
      <c r="I111" s="714" t="s">
        <v>951</v>
      </c>
      <c r="J111" s="1395" t="s">
        <v>900</v>
      </c>
    </row>
    <row r="112" spans="1:10" x14ac:dyDescent="0.25">
      <c r="A112" s="1418" t="s">
        <v>893</v>
      </c>
      <c r="B112" s="1417" t="s">
        <v>548</v>
      </c>
      <c r="C112" s="1434" t="s">
        <v>826</v>
      </c>
      <c r="D112" s="1388" t="s">
        <v>946</v>
      </c>
      <c r="E112" s="1389">
        <v>111</v>
      </c>
      <c r="F112" s="1402">
        <v>4.3</v>
      </c>
      <c r="G112" s="1401" t="s">
        <v>885</v>
      </c>
      <c r="H112" s="714" t="s">
        <v>827</v>
      </c>
      <c r="I112" s="714" t="s">
        <v>951</v>
      </c>
      <c r="J112" s="1395" t="s">
        <v>886</v>
      </c>
    </row>
    <row r="113" spans="1:10" x14ac:dyDescent="0.25">
      <c r="A113" s="1416" t="s">
        <v>896</v>
      </c>
      <c r="B113" s="1417" t="s">
        <v>834</v>
      </c>
      <c r="C113" s="1434" t="s">
        <v>826</v>
      </c>
      <c r="D113" s="1388" t="s">
        <v>946</v>
      </c>
      <c r="E113" s="1389">
        <v>112</v>
      </c>
      <c r="F113" s="1402">
        <v>4.4000000000000004</v>
      </c>
      <c r="G113" s="1401" t="s">
        <v>889</v>
      </c>
      <c r="H113" s="714" t="s">
        <v>827</v>
      </c>
      <c r="I113" s="714" t="s">
        <v>951</v>
      </c>
      <c r="J113" s="1395" t="s">
        <v>890</v>
      </c>
    </row>
    <row r="114" spans="1:10" x14ac:dyDescent="0.25">
      <c r="A114" s="1418" t="s">
        <v>897</v>
      </c>
      <c r="B114" s="1417" t="s">
        <v>898</v>
      </c>
      <c r="C114" s="1434" t="s">
        <v>826</v>
      </c>
      <c r="D114" s="1388" t="s">
        <v>946</v>
      </c>
      <c r="E114" s="1389">
        <v>113</v>
      </c>
      <c r="F114" s="1390" t="s">
        <v>732</v>
      </c>
      <c r="G114" s="1401" t="s">
        <v>548</v>
      </c>
      <c r="H114" s="740" t="s">
        <v>827</v>
      </c>
      <c r="I114" s="714" t="s">
        <v>951</v>
      </c>
      <c r="J114" s="1395" t="s">
        <v>548</v>
      </c>
    </row>
    <row r="115" spans="1:10" x14ac:dyDescent="0.25">
      <c r="A115" s="1418" t="s">
        <v>901</v>
      </c>
      <c r="B115" s="1417" t="s">
        <v>902</v>
      </c>
      <c r="C115" s="1434" t="s">
        <v>826</v>
      </c>
      <c r="D115" s="1388" t="s">
        <v>946</v>
      </c>
      <c r="E115" s="1389">
        <v>114</v>
      </c>
      <c r="F115" s="1390" t="s">
        <v>734</v>
      </c>
      <c r="G115" s="1401" t="s">
        <v>825</v>
      </c>
      <c r="H115" s="740" t="s">
        <v>827</v>
      </c>
      <c r="I115" s="714" t="s">
        <v>951</v>
      </c>
      <c r="J115" s="1395" t="s">
        <v>828</v>
      </c>
    </row>
    <row r="116" spans="1:10" x14ac:dyDescent="0.25">
      <c r="A116" s="1418" t="s">
        <v>904</v>
      </c>
      <c r="B116" s="1417" t="s">
        <v>905</v>
      </c>
      <c r="C116" s="1434" t="s">
        <v>826</v>
      </c>
      <c r="D116" s="1388" t="s">
        <v>946</v>
      </c>
      <c r="E116" s="1389">
        <v>115</v>
      </c>
      <c r="F116" s="1390" t="s">
        <v>736</v>
      </c>
      <c r="G116" s="1420" t="s">
        <v>548</v>
      </c>
      <c r="H116" s="740" t="s">
        <v>827</v>
      </c>
      <c r="I116" s="714" t="s">
        <v>951</v>
      </c>
      <c r="J116" s="1395" t="s">
        <v>548</v>
      </c>
    </row>
    <row r="117" spans="1:10" x14ac:dyDescent="0.25">
      <c r="A117" s="1418" t="s">
        <v>906</v>
      </c>
      <c r="B117" s="1417" t="s">
        <v>825</v>
      </c>
      <c r="C117" s="1434" t="s">
        <v>826</v>
      </c>
      <c r="D117" s="1388" t="s">
        <v>946</v>
      </c>
      <c r="E117" s="1389">
        <v>116</v>
      </c>
      <c r="F117" s="1390" t="s">
        <v>738</v>
      </c>
      <c r="G117" s="1401" t="s">
        <v>837</v>
      </c>
      <c r="H117" s="740" t="s">
        <v>827</v>
      </c>
      <c r="I117" s="714" t="s">
        <v>951</v>
      </c>
      <c r="J117" s="1395" t="s">
        <v>845</v>
      </c>
    </row>
    <row r="118" spans="1:10" x14ac:dyDescent="0.25">
      <c r="A118" s="1418" t="s">
        <v>755</v>
      </c>
      <c r="B118" s="1417" t="s">
        <v>907</v>
      </c>
      <c r="C118" s="1434" t="s">
        <v>826</v>
      </c>
      <c r="D118" s="1388" t="s">
        <v>946</v>
      </c>
      <c r="E118" s="1389">
        <v>117</v>
      </c>
      <c r="F118" s="1402">
        <v>5.3</v>
      </c>
      <c r="G118" s="1394" t="s">
        <v>899</v>
      </c>
      <c r="H118" s="714" t="s">
        <v>827</v>
      </c>
      <c r="I118" s="714" t="s">
        <v>951</v>
      </c>
      <c r="J118" s="1395" t="s">
        <v>900</v>
      </c>
    </row>
    <row r="119" spans="1:10" x14ac:dyDescent="0.25">
      <c r="A119" s="1418">
        <v>5.1100000000000003</v>
      </c>
      <c r="B119" s="1417" t="s">
        <v>958</v>
      </c>
      <c r="C119" s="1434" t="s">
        <v>826</v>
      </c>
      <c r="D119" s="1388" t="s">
        <v>946</v>
      </c>
      <c r="E119" s="1389">
        <v>118</v>
      </c>
      <c r="F119" s="1402">
        <v>5.4</v>
      </c>
      <c r="G119" s="1401" t="s">
        <v>903</v>
      </c>
      <c r="H119" s="714" t="s">
        <v>827</v>
      </c>
      <c r="I119" s="714" t="s">
        <v>951</v>
      </c>
      <c r="J119" s="1395" t="s">
        <v>864</v>
      </c>
    </row>
    <row r="120" spans="1:10" x14ac:dyDescent="0.25">
      <c r="A120" s="1418">
        <v>5.12</v>
      </c>
      <c r="B120" s="1417" t="s">
        <v>849</v>
      </c>
      <c r="C120" s="1434" t="s">
        <v>826</v>
      </c>
      <c r="D120" s="1388" t="s">
        <v>946</v>
      </c>
      <c r="E120" s="1389">
        <v>119</v>
      </c>
      <c r="F120" s="1402">
        <v>5.5</v>
      </c>
      <c r="G120" s="1394" t="s">
        <v>841</v>
      </c>
      <c r="H120" s="714" t="s">
        <v>827</v>
      </c>
      <c r="I120" s="714" t="s">
        <v>951</v>
      </c>
      <c r="J120" s="1395" t="s">
        <v>856</v>
      </c>
    </row>
    <row r="121" spans="1:10" x14ac:dyDescent="0.25">
      <c r="A121" s="1421">
        <v>5.13</v>
      </c>
      <c r="B121" s="1422" t="s">
        <v>959</v>
      </c>
      <c r="C121" s="1434" t="s">
        <v>826</v>
      </c>
      <c r="D121" s="1388" t="s">
        <v>946</v>
      </c>
      <c r="E121" s="1389">
        <v>120</v>
      </c>
      <c r="F121" s="1402">
        <v>5.6</v>
      </c>
      <c r="G121" s="1401" t="s">
        <v>825</v>
      </c>
      <c r="H121" s="714" t="s">
        <v>827</v>
      </c>
      <c r="I121" s="714" t="s">
        <v>951</v>
      </c>
      <c r="J121" s="1395" t="s">
        <v>828</v>
      </c>
    </row>
    <row r="122" spans="1:10" x14ac:dyDescent="0.25">
      <c r="A122" s="1414" t="s">
        <v>909</v>
      </c>
      <c r="B122" s="1415" t="s">
        <v>825</v>
      </c>
      <c r="C122" s="1434" t="s">
        <v>826</v>
      </c>
      <c r="D122" s="1388" t="s">
        <v>946</v>
      </c>
      <c r="E122" s="1389">
        <v>121</v>
      </c>
      <c r="F122" s="1390" t="s">
        <v>744</v>
      </c>
      <c r="G122" s="1401" t="s">
        <v>548</v>
      </c>
      <c r="H122" s="740" t="s">
        <v>827</v>
      </c>
      <c r="I122" s="714" t="s">
        <v>951</v>
      </c>
      <c r="J122" s="1395" t="s">
        <v>548</v>
      </c>
    </row>
    <row r="123" spans="1:10" x14ac:dyDescent="0.25">
      <c r="A123" s="1418" t="s">
        <v>910</v>
      </c>
      <c r="B123" s="1417" t="s">
        <v>825</v>
      </c>
      <c r="C123" s="1434" t="s">
        <v>826</v>
      </c>
      <c r="D123" s="1388" t="s">
        <v>946</v>
      </c>
      <c r="E123" s="1389">
        <v>122</v>
      </c>
      <c r="F123" s="1390" t="s">
        <v>746</v>
      </c>
      <c r="G123" s="1401" t="s">
        <v>960</v>
      </c>
      <c r="H123" s="740" t="s">
        <v>827</v>
      </c>
      <c r="I123" s="714" t="s">
        <v>951</v>
      </c>
      <c r="J123" s="1395" t="s">
        <v>854</v>
      </c>
    </row>
    <row r="124" spans="1:10" x14ac:dyDescent="0.25">
      <c r="A124" s="1418" t="s">
        <v>911</v>
      </c>
      <c r="B124" s="1417" t="s">
        <v>857</v>
      </c>
      <c r="C124" s="1434" t="s">
        <v>826</v>
      </c>
      <c r="D124" s="1388" t="s">
        <v>946</v>
      </c>
      <c r="E124" s="1389">
        <v>123</v>
      </c>
      <c r="F124" s="1390" t="s">
        <v>748</v>
      </c>
      <c r="G124" s="1401" t="s">
        <v>961</v>
      </c>
      <c r="H124" s="740" t="s">
        <v>827</v>
      </c>
      <c r="I124" s="714" t="s">
        <v>951</v>
      </c>
      <c r="J124" s="1439" t="s">
        <v>962</v>
      </c>
    </row>
    <row r="125" spans="1:10" x14ac:dyDescent="0.25">
      <c r="A125" s="1418" t="s">
        <v>912</v>
      </c>
      <c r="B125" s="1417" t="s">
        <v>913</v>
      </c>
      <c r="C125" s="1434" t="s">
        <v>826</v>
      </c>
      <c r="D125" s="1388" t="s">
        <v>946</v>
      </c>
      <c r="E125" s="1389">
        <v>124</v>
      </c>
      <c r="F125" s="1390" t="s">
        <v>750</v>
      </c>
      <c r="G125" s="1401" t="s">
        <v>902</v>
      </c>
      <c r="H125" s="740" t="s">
        <v>827</v>
      </c>
      <c r="I125" s="714" t="s">
        <v>951</v>
      </c>
      <c r="J125" s="1395" t="s">
        <v>908</v>
      </c>
    </row>
    <row r="126" spans="1:10" x14ac:dyDescent="0.25">
      <c r="A126" s="1418" t="s">
        <v>914</v>
      </c>
      <c r="B126" s="1417" t="s">
        <v>857</v>
      </c>
      <c r="C126" s="1434" t="s">
        <v>826</v>
      </c>
      <c r="D126" s="1388" t="s">
        <v>946</v>
      </c>
      <c r="E126" s="1389">
        <v>125</v>
      </c>
      <c r="F126" s="1390" t="s">
        <v>752</v>
      </c>
      <c r="G126" s="1401" t="s">
        <v>963</v>
      </c>
      <c r="H126" s="740" t="s">
        <v>827</v>
      </c>
      <c r="I126" s="714" t="s">
        <v>951</v>
      </c>
      <c r="J126" s="1423" t="s">
        <v>964</v>
      </c>
    </row>
    <row r="127" spans="1:10" x14ac:dyDescent="0.25">
      <c r="A127" s="1418" t="s">
        <v>915</v>
      </c>
      <c r="B127" s="1417" t="s">
        <v>857</v>
      </c>
      <c r="C127" s="1434" t="s">
        <v>826</v>
      </c>
      <c r="D127" s="1388" t="s">
        <v>946</v>
      </c>
      <c r="E127" s="1389">
        <v>126</v>
      </c>
      <c r="F127" s="1402">
        <v>5.9</v>
      </c>
      <c r="G127" s="1401" t="s">
        <v>825</v>
      </c>
      <c r="H127" s="714" t="s">
        <v>827</v>
      </c>
      <c r="I127" s="714" t="s">
        <v>951</v>
      </c>
      <c r="J127" s="1395" t="s">
        <v>828</v>
      </c>
    </row>
    <row r="128" spans="1:10" x14ac:dyDescent="0.25">
      <c r="A128" s="1418" t="s">
        <v>916</v>
      </c>
      <c r="B128" s="1417" t="s">
        <v>837</v>
      </c>
      <c r="C128" s="1434" t="s">
        <v>826</v>
      </c>
      <c r="D128" s="1388" t="s">
        <v>946</v>
      </c>
      <c r="E128" s="1389">
        <v>127</v>
      </c>
      <c r="F128" s="1406" t="s">
        <v>755</v>
      </c>
      <c r="G128" s="1401" t="s">
        <v>965</v>
      </c>
      <c r="H128" s="714" t="s">
        <v>827</v>
      </c>
      <c r="I128" s="714" t="s">
        <v>951</v>
      </c>
      <c r="J128" s="1395" t="s">
        <v>966</v>
      </c>
    </row>
    <row r="129" spans="1:13" x14ac:dyDescent="0.25">
      <c r="A129" s="1418" t="s">
        <v>917</v>
      </c>
      <c r="B129" s="1417" t="s">
        <v>837</v>
      </c>
      <c r="C129" s="1434" t="s">
        <v>826</v>
      </c>
      <c r="D129" s="1388" t="s">
        <v>946</v>
      </c>
      <c r="E129" s="1389">
        <v>128</v>
      </c>
      <c r="F129" s="1402">
        <v>5.1100000000000003</v>
      </c>
      <c r="G129" s="1401" t="s">
        <v>967</v>
      </c>
      <c r="H129" s="714" t="s">
        <v>827</v>
      </c>
      <c r="I129" s="714" t="s">
        <v>951</v>
      </c>
      <c r="J129" s="1395" t="s">
        <v>968</v>
      </c>
    </row>
    <row r="130" spans="1:13" x14ac:dyDescent="0.25">
      <c r="A130" s="1421" t="s">
        <v>918</v>
      </c>
      <c r="B130" s="1422" t="s">
        <v>919</v>
      </c>
      <c r="C130" s="1434" t="s">
        <v>826</v>
      </c>
      <c r="D130" s="1388" t="s">
        <v>946</v>
      </c>
      <c r="E130" s="1389">
        <v>129</v>
      </c>
      <c r="F130" s="1402">
        <v>5.12</v>
      </c>
      <c r="G130" s="1401" t="s">
        <v>849</v>
      </c>
      <c r="H130" s="714" t="s">
        <v>827</v>
      </c>
      <c r="I130" s="714" t="s">
        <v>951</v>
      </c>
      <c r="J130" s="1395">
        <v>10</v>
      </c>
    </row>
    <row r="131" spans="1:13" x14ac:dyDescent="0.25">
      <c r="A131" s="1414" t="s">
        <v>920</v>
      </c>
      <c r="B131" s="1415" t="s">
        <v>825</v>
      </c>
      <c r="C131" s="1434" t="s">
        <v>826</v>
      </c>
      <c r="D131" s="1388" t="s">
        <v>946</v>
      </c>
      <c r="E131" s="1389">
        <v>130</v>
      </c>
      <c r="F131" s="1402">
        <v>5.13</v>
      </c>
      <c r="G131" s="1401" t="s">
        <v>969</v>
      </c>
      <c r="H131" s="714" t="s">
        <v>827</v>
      </c>
      <c r="I131" s="714" t="s">
        <v>951</v>
      </c>
      <c r="J131" s="1395" t="s">
        <v>970</v>
      </c>
    </row>
    <row r="132" spans="1:13" x14ac:dyDescent="0.25">
      <c r="A132" s="1418" t="s">
        <v>923</v>
      </c>
      <c r="B132" s="1419" t="s">
        <v>924</v>
      </c>
      <c r="C132" s="1434" t="s">
        <v>826</v>
      </c>
      <c r="D132" s="1388" t="s">
        <v>946</v>
      </c>
      <c r="E132" s="1389">
        <v>131</v>
      </c>
      <c r="F132" s="1402">
        <v>6.1</v>
      </c>
      <c r="G132" s="1401" t="s">
        <v>825</v>
      </c>
      <c r="H132" s="714" t="s">
        <v>827</v>
      </c>
      <c r="I132" s="714" t="s">
        <v>951</v>
      </c>
      <c r="J132" s="1395" t="s">
        <v>828</v>
      </c>
    </row>
    <row r="133" spans="1:13" x14ac:dyDescent="0.25">
      <c r="A133" s="1418" t="s">
        <v>925</v>
      </c>
      <c r="B133" s="1417" t="s">
        <v>926</v>
      </c>
      <c r="C133" s="1434" t="s">
        <v>826</v>
      </c>
      <c r="D133" s="1388" t="s">
        <v>946</v>
      </c>
      <c r="E133" s="1389">
        <v>132</v>
      </c>
      <c r="F133" s="1402">
        <v>6.2</v>
      </c>
      <c r="G133" s="1401" t="s">
        <v>825</v>
      </c>
      <c r="H133" s="714" t="s">
        <v>827</v>
      </c>
      <c r="I133" s="714" t="s">
        <v>951</v>
      </c>
      <c r="J133" s="1395" t="s">
        <v>828</v>
      </c>
    </row>
    <row r="134" spans="1:13" x14ac:dyDescent="0.25">
      <c r="A134" s="1418" t="s">
        <v>928</v>
      </c>
      <c r="B134" s="1417" t="s">
        <v>548</v>
      </c>
      <c r="C134" s="1434" t="s">
        <v>826</v>
      </c>
      <c r="D134" s="1388" t="s">
        <v>946</v>
      </c>
      <c r="E134" s="1389">
        <v>133</v>
      </c>
      <c r="F134" s="1402">
        <v>6.3</v>
      </c>
      <c r="G134" s="1401" t="s">
        <v>869</v>
      </c>
      <c r="H134" s="714" t="s">
        <v>827</v>
      </c>
      <c r="I134" s="714" t="s">
        <v>951</v>
      </c>
      <c r="J134" s="1423" t="s">
        <v>870</v>
      </c>
    </row>
    <row r="135" spans="1:13" x14ac:dyDescent="0.25">
      <c r="A135" s="1416" t="s">
        <v>929</v>
      </c>
      <c r="B135" s="1417" t="s">
        <v>837</v>
      </c>
      <c r="C135" s="1434" t="s">
        <v>826</v>
      </c>
      <c r="D135" s="1388" t="s">
        <v>946</v>
      </c>
      <c r="E135" s="1389">
        <v>134</v>
      </c>
      <c r="F135" s="1402">
        <v>6.4</v>
      </c>
      <c r="G135" s="1401" t="s">
        <v>921</v>
      </c>
      <c r="H135" s="714" t="s">
        <v>827</v>
      </c>
      <c r="I135" s="714" t="s">
        <v>951</v>
      </c>
      <c r="J135" s="1395" t="s">
        <v>922</v>
      </c>
    </row>
    <row r="136" spans="1:13" x14ac:dyDescent="0.25">
      <c r="A136" s="1418" t="s">
        <v>930</v>
      </c>
      <c r="B136" s="1417" t="s">
        <v>548</v>
      </c>
      <c r="C136" s="1434" t="s">
        <v>826</v>
      </c>
      <c r="D136" s="1388" t="s">
        <v>946</v>
      </c>
      <c r="E136" s="1389">
        <v>135</v>
      </c>
      <c r="F136" s="1390" t="s">
        <v>765</v>
      </c>
      <c r="G136" s="1401" t="s">
        <v>834</v>
      </c>
      <c r="H136" s="740" t="s">
        <v>827</v>
      </c>
      <c r="I136" s="714" t="s">
        <v>951</v>
      </c>
      <c r="J136" s="1395" t="s">
        <v>854</v>
      </c>
    </row>
    <row r="137" spans="1:13" x14ac:dyDescent="0.25">
      <c r="A137" s="1416" t="s">
        <v>932</v>
      </c>
      <c r="B137" s="1417" t="s">
        <v>841</v>
      </c>
      <c r="C137" s="1434" t="s">
        <v>826</v>
      </c>
      <c r="D137" s="1388" t="s">
        <v>946</v>
      </c>
      <c r="E137" s="1389">
        <v>136</v>
      </c>
      <c r="F137" s="1390" t="s">
        <v>767</v>
      </c>
      <c r="G137" s="1394" t="s">
        <v>927</v>
      </c>
      <c r="H137" s="740" t="s">
        <v>827</v>
      </c>
      <c r="I137" s="714" t="s">
        <v>951</v>
      </c>
      <c r="J137" s="1395" t="s">
        <v>854</v>
      </c>
    </row>
    <row r="138" spans="1:13" x14ac:dyDescent="0.25">
      <c r="A138" s="1418">
        <v>7.5</v>
      </c>
      <c r="B138" s="1417" t="s">
        <v>825</v>
      </c>
      <c r="C138" s="1434" t="s">
        <v>826</v>
      </c>
      <c r="D138" s="1388" t="s">
        <v>946</v>
      </c>
      <c r="E138" s="1389">
        <v>137</v>
      </c>
      <c r="F138" s="1402">
        <v>6.6</v>
      </c>
      <c r="G138" s="1401" t="s">
        <v>832</v>
      </c>
      <c r="H138" s="714" t="s">
        <v>827</v>
      </c>
      <c r="I138" s="714" t="s">
        <v>951</v>
      </c>
      <c r="J138" s="1423" t="s">
        <v>833</v>
      </c>
    </row>
    <row r="139" spans="1:13" x14ac:dyDescent="0.25">
      <c r="A139" s="1418">
        <v>7.6</v>
      </c>
      <c r="B139" s="1417" t="s">
        <v>825</v>
      </c>
      <c r="C139" s="1434" t="s">
        <v>826</v>
      </c>
      <c r="D139" s="1388" t="s">
        <v>946</v>
      </c>
      <c r="E139" s="1389">
        <v>138</v>
      </c>
      <c r="F139" s="1402">
        <v>7.1</v>
      </c>
      <c r="G139" s="1401" t="s">
        <v>825</v>
      </c>
      <c r="H139" s="714" t="s">
        <v>827</v>
      </c>
      <c r="I139" s="714" t="s">
        <v>951</v>
      </c>
      <c r="J139" s="1395" t="s">
        <v>828</v>
      </c>
    </row>
    <row r="140" spans="1:13" x14ac:dyDescent="0.25">
      <c r="A140" s="1418">
        <v>7.7</v>
      </c>
      <c r="B140" s="1417" t="s">
        <v>825</v>
      </c>
      <c r="C140" s="1434" t="s">
        <v>826</v>
      </c>
      <c r="D140" s="1388" t="s">
        <v>946</v>
      </c>
      <c r="E140" s="1389">
        <v>139</v>
      </c>
      <c r="F140" s="1390" t="s">
        <v>773</v>
      </c>
      <c r="G140" s="1394" t="s">
        <v>931</v>
      </c>
      <c r="H140" s="740" t="s">
        <v>827</v>
      </c>
      <c r="I140" s="714" t="s">
        <v>951</v>
      </c>
      <c r="J140" s="1395" t="s">
        <v>864</v>
      </c>
    </row>
    <row r="141" spans="1:13" x14ac:dyDescent="0.25">
      <c r="A141" s="1418">
        <v>7.8</v>
      </c>
      <c r="B141" s="1417" t="s">
        <v>825</v>
      </c>
      <c r="C141" s="1434" t="s">
        <v>826</v>
      </c>
      <c r="D141" s="1388" t="s">
        <v>946</v>
      </c>
      <c r="E141" s="1389">
        <v>140</v>
      </c>
      <c r="F141" s="1390" t="s">
        <v>775</v>
      </c>
      <c r="G141" s="1394" t="s">
        <v>933</v>
      </c>
      <c r="H141" s="740" t="s">
        <v>827</v>
      </c>
      <c r="I141" s="714" t="s">
        <v>951</v>
      </c>
      <c r="J141" s="1395" t="s">
        <v>934</v>
      </c>
      <c r="M141" s="372">
        <f>240/20</f>
        <v>12</v>
      </c>
    </row>
    <row r="142" spans="1:13" x14ac:dyDescent="0.25">
      <c r="A142" s="1424" t="s">
        <v>935</v>
      </c>
      <c r="B142" s="1417" t="s">
        <v>548</v>
      </c>
      <c r="C142" s="1434" t="s">
        <v>826</v>
      </c>
      <c r="D142" s="1388" t="s">
        <v>946</v>
      </c>
      <c r="E142" s="1389">
        <v>141</v>
      </c>
      <c r="F142" s="1390" t="s">
        <v>776</v>
      </c>
      <c r="G142" s="1394" t="s">
        <v>825</v>
      </c>
      <c r="H142" s="740" t="s">
        <v>827</v>
      </c>
      <c r="I142" s="714" t="s">
        <v>951</v>
      </c>
      <c r="J142" s="1395" t="s">
        <v>828</v>
      </c>
    </row>
    <row r="143" spans="1:13" x14ac:dyDescent="0.25">
      <c r="A143" s="1418" t="s">
        <v>936</v>
      </c>
      <c r="B143" s="1417" t="s">
        <v>825</v>
      </c>
      <c r="C143" s="1434" t="s">
        <v>826</v>
      </c>
      <c r="D143" s="1388" t="s">
        <v>946</v>
      </c>
      <c r="E143" s="1389">
        <v>142</v>
      </c>
      <c r="F143" s="1390" t="s">
        <v>778</v>
      </c>
      <c r="G143" s="1401" t="s">
        <v>548</v>
      </c>
      <c r="H143" s="740" t="s">
        <v>827</v>
      </c>
      <c r="I143" s="714" t="s">
        <v>951</v>
      </c>
      <c r="J143" s="1395" t="s">
        <v>548</v>
      </c>
    </row>
    <row r="144" spans="1:13" x14ac:dyDescent="0.25">
      <c r="A144" s="1418" t="s">
        <v>937</v>
      </c>
      <c r="B144" s="1417" t="s">
        <v>825</v>
      </c>
      <c r="C144" s="1434" t="s">
        <v>826</v>
      </c>
      <c r="D144" s="1388" t="s">
        <v>946</v>
      </c>
      <c r="E144" s="1389">
        <v>143</v>
      </c>
      <c r="F144" s="1390" t="s">
        <v>779</v>
      </c>
      <c r="G144" s="1401" t="s">
        <v>548</v>
      </c>
      <c r="H144" s="740" t="s">
        <v>827</v>
      </c>
      <c r="I144" s="714" t="s">
        <v>951</v>
      </c>
      <c r="J144" s="1395" t="s">
        <v>548</v>
      </c>
    </row>
    <row r="145" spans="1:10" x14ac:dyDescent="0.25">
      <c r="A145" s="1418" t="s">
        <v>787</v>
      </c>
      <c r="B145" s="1417" t="s">
        <v>825</v>
      </c>
      <c r="C145" s="1434" t="s">
        <v>826</v>
      </c>
      <c r="D145" s="1388" t="s">
        <v>946</v>
      </c>
      <c r="E145" s="1389">
        <v>144</v>
      </c>
      <c r="F145" s="1390" t="s">
        <v>781</v>
      </c>
      <c r="G145" s="1401" t="s">
        <v>841</v>
      </c>
      <c r="H145" s="740" t="s">
        <v>827</v>
      </c>
      <c r="I145" s="714" t="s">
        <v>951</v>
      </c>
      <c r="J145" s="1395" t="s">
        <v>856</v>
      </c>
    </row>
    <row r="146" spans="1:10" x14ac:dyDescent="0.25">
      <c r="A146" s="1418">
        <v>7.11</v>
      </c>
      <c r="B146" s="1417" t="s">
        <v>825</v>
      </c>
      <c r="C146" s="1434" t="s">
        <v>826</v>
      </c>
      <c r="D146" s="1388" t="s">
        <v>946</v>
      </c>
      <c r="E146" s="1389">
        <v>145</v>
      </c>
      <c r="F146" s="1402">
        <v>7.5</v>
      </c>
      <c r="G146" s="1401" t="s">
        <v>825</v>
      </c>
      <c r="H146" s="714" t="s">
        <v>827</v>
      </c>
      <c r="I146" s="714" t="s">
        <v>951</v>
      </c>
      <c r="J146" s="1395" t="s">
        <v>828</v>
      </c>
    </row>
    <row r="147" spans="1:10" x14ac:dyDescent="0.25">
      <c r="A147" s="1418">
        <v>7.12</v>
      </c>
      <c r="B147" s="1417" t="s">
        <v>825</v>
      </c>
      <c r="C147" s="1434" t="s">
        <v>826</v>
      </c>
      <c r="D147" s="1388" t="s">
        <v>946</v>
      </c>
      <c r="E147" s="1389">
        <v>146</v>
      </c>
      <c r="F147" s="1402">
        <v>7.6</v>
      </c>
      <c r="G147" s="1401" t="s">
        <v>825</v>
      </c>
      <c r="H147" s="714" t="s">
        <v>827</v>
      </c>
      <c r="I147" s="714" t="s">
        <v>951</v>
      </c>
      <c r="J147" s="1395" t="s">
        <v>828</v>
      </c>
    </row>
    <row r="148" spans="1:10" x14ac:dyDescent="0.25">
      <c r="A148" s="1418">
        <v>7.13</v>
      </c>
      <c r="B148" s="1417" t="s">
        <v>548</v>
      </c>
      <c r="C148" s="1434" t="s">
        <v>826</v>
      </c>
      <c r="D148" s="1388" t="s">
        <v>946</v>
      </c>
      <c r="E148" s="1389">
        <v>147</v>
      </c>
      <c r="F148" s="1402">
        <v>7.7</v>
      </c>
      <c r="G148" s="1401" t="s">
        <v>825</v>
      </c>
      <c r="H148" s="714" t="s">
        <v>827</v>
      </c>
      <c r="I148" s="714" t="s">
        <v>951</v>
      </c>
      <c r="J148" s="1395" t="s">
        <v>828</v>
      </c>
    </row>
    <row r="149" spans="1:10" x14ac:dyDescent="0.25">
      <c r="A149" s="1418">
        <v>7.14</v>
      </c>
      <c r="B149" s="1417" t="s">
        <v>825</v>
      </c>
      <c r="C149" s="1434" t="s">
        <v>826</v>
      </c>
      <c r="D149" s="1388" t="s">
        <v>946</v>
      </c>
      <c r="E149" s="1389">
        <v>148</v>
      </c>
      <c r="F149" s="1402">
        <v>7.8</v>
      </c>
      <c r="G149" s="1401" t="s">
        <v>825</v>
      </c>
      <c r="H149" s="714" t="s">
        <v>827</v>
      </c>
      <c r="I149" s="714" t="s">
        <v>951</v>
      </c>
      <c r="J149" s="1395" t="s">
        <v>828</v>
      </c>
    </row>
    <row r="150" spans="1:10" x14ac:dyDescent="0.25">
      <c r="A150" s="1418">
        <v>7.15</v>
      </c>
      <c r="B150" s="1417" t="s">
        <v>825</v>
      </c>
      <c r="C150" s="1434" t="s">
        <v>826</v>
      </c>
      <c r="D150" s="1388" t="s">
        <v>946</v>
      </c>
      <c r="E150" s="1389">
        <v>149</v>
      </c>
      <c r="F150" s="1402">
        <v>7.9</v>
      </c>
      <c r="G150" s="1401" t="s">
        <v>825</v>
      </c>
      <c r="H150" s="714" t="s">
        <v>827</v>
      </c>
      <c r="I150" s="714" t="s">
        <v>951</v>
      </c>
      <c r="J150" s="1395" t="s">
        <v>828</v>
      </c>
    </row>
    <row r="151" spans="1:10" x14ac:dyDescent="0.25">
      <c r="A151" s="1418">
        <v>7.16</v>
      </c>
      <c r="B151" s="1417" t="s">
        <v>825</v>
      </c>
      <c r="C151" s="1434" t="s">
        <v>826</v>
      </c>
      <c r="D151" s="1388" t="s">
        <v>946</v>
      </c>
      <c r="E151" s="1389">
        <v>150</v>
      </c>
      <c r="F151" s="1406" t="s">
        <v>787</v>
      </c>
      <c r="G151" s="1401" t="s">
        <v>971</v>
      </c>
      <c r="H151" s="714" t="s">
        <v>827</v>
      </c>
      <c r="I151" s="714" t="s">
        <v>951</v>
      </c>
      <c r="J151" s="1395" t="s">
        <v>864</v>
      </c>
    </row>
    <row r="152" spans="1:10" x14ac:dyDescent="0.25">
      <c r="A152" s="1421">
        <v>7.17</v>
      </c>
      <c r="B152" s="1422" t="s">
        <v>889</v>
      </c>
      <c r="C152" s="1434" t="s">
        <v>826</v>
      </c>
      <c r="D152" s="1388" t="s">
        <v>946</v>
      </c>
      <c r="E152" s="1389">
        <v>151</v>
      </c>
      <c r="F152" s="1402">
        <v>7.11</v>
      </c>
      <c r="G152" s="1401" t="s">
        <v>825</v>
      </c>
      <c r="H152" s="714" t="s">
        <v>827</v>
      </c>
      <c r="I152" s="714" t="s">
        <v>951</v>
      </c>
      <c r="J152" s="1395" t="s">
        <v>828</v>
      </c>
    </row>
    <row r="153" spans="1:10" x14ac:dyDescent="0.25">
      <c r="A153" s="1414" t="s">
        <v>941</v>
      </c>
      <c r="B153" s="1415" t="s">
        <v>825</v>
      </c>
      <c r="C153" s="1434" t="s">
        <v>826</v>
      </c>
      <c r="D153" s="1388" t="s">
        <v>946</v>
      </c>
      <c r="E153" s="1389">
        <v>152</v>
      </c>
      <c r="F153" s="1402">
        <v>7.12</v>
      </c>
      <c r="G153" s="1401" t="s">
        <v>825</v>
      </c>
      <c r="H153" s="714" t="s">
        <v>827</v>
      </c>
      <c r="I153" s="714" t="s">
        <v>951</v>
      </c>
      <c r="J153" s="1395" t="s">
        <v>828</v>
      </c>
    </row>
    <row r="154" spans="1:10" x14ac:dyDescent="0.25">
      <c r="A154" s="1418" t="s">
        <v>942</v>
      </c>
      <c r="B154" s="1417" t="s">
        <v>825</v>
      </c>
      <c r="C154" s="1434" t="s">
        <v>826</v>
      </c>
      <c r="D154" s="1388" t="s">
        <v>946</v>
      </c>
      <c r="E154" s="1389">
        <v>153</v>
      </c>
      <c r="F154" s="1390" t="s">
        <v>791</v>
      </c>
      <c r="G154" s="1401" t="s">
        <v>548</v>
      </c>
      <c r="H154" s="740" t="s">
        <v>827</v>
      </c>
      <c r="I154" s="714" t="s">
        <v>951</v>
      </c>
      <c r="J154" s="1395" t="s">
        <v>548</v>
      </c>
    </row>
    <row r="155" spans="1:10" x14ac:dyDescent="0.25">
      <c r="A155" s="1418" t="s">
        <v>943</v>
      </c>
      <c r="B155" s="1417" t="s">
        <v>825</v>
      </c>
      <c r="C155" s="1434" t="s">
        <v>826</v>
      </c>
      <c r="D155" s="1388" t="s">
        <v>946</v>
      </c>
      <c r="E155" s="1389">
        <v>154</v>
      </c>
      <c r="F155" s="1390" t="s">
        <v>793</v>
      </c>
      <c r="G155" s="1401" t="s">
        <v>972</v>
      </c>
      <c r="H155" s="740" t="s">
        <v>827</v>
      </c>
      <c r="I155" s="714" t="s">
        <v>951</v>
      </c>
      <c r="J155" s="1395" t="s">
        <v>973</v>
      </c>
    </row>
    <row r="156" spans="1:10" x14ac:dyDescent="0.25">
      <c r="A156" s="1418" t="s">
        <v>944</v>
      </c>
      <c r="B156" s="1417" t="s">
        <v>889</v>
      </c>
      <c r="C156" s="1434" t="s">
        <v>826</v>
      </c>
      <c r="D156" s="1388" t="s">
        <v>946</v>
      </c>
      <c r="E156" s="1389">
        <v>155</v>
      </c>
      <c r="F156" s="1402">
        <v>7.14</v>
      </c>
      <c r="G156" s="1401" t="s">
        <v>825</v>
      </c>
      <c r="H156" s="714" t="s">
        <v>827</v>
      </c>
      <c r="I156" s="714" t="s">
        <v>951</v>
      </c>
      <c r="J156" s="1395" t="s">
        <v>828</v>
      </c>
    </row>
    <row r="157" spans="1:10" s="1095" customFormat="1" x14ac:dyDescent="0.25">
      <c r="A157" s="1440" t="s">
        <v>945</v>
      </c>
      <c r="B157" s="1407" t="s">
        <v>834</v>
      </c>
      <c r="C157" s="1407" t="s">
        <v>826</v>
      </c>
      <c r="D157" s="1407" t="s">
        <v>946</v>
      </c>
      <c r="E157" s="1389">
        <v>156</v>
      </c>
      <c r="F157" s="1412">
        <v>7.15</v>
      </c>
      <c r="G157" s="1401" t="s">
        <v>825</v>
      </c>
      <c r="H157" s="714" t="s">
        <v>827</v>
      </c>
      <c r="I157" s="714" t="s">
        <v>951</v>
      </c>
      <c r="J157" s="1427" t="s">
        <v>828</v>
      </c>
    </row>
    <row r="158" spans="1:10" s="1095" customFormat="1" x14ac:dyDescent="0.25">
      <c r="A158" s="1398">
        <v>1.1000000000000001</v>
      </c>
      <c r="B158" s="1441" t="s">
        <v>825</v>
      </c>
      <c r="C158" s="1442" t="s">
        <v>826</v>
      </c>
      <c r="D158" s="1407" t="s">
        <v>974</v>
      </c>
      <c r="E158" s="1389">
        <v>157</v>
      </c>
      <c r="F158" s="1412">
        <v>7.16</v>
      </c>
      <c r="G158" s="1401" t="s">
        <v>825</v>
      </c>
      <c r="H158" s="714" t="s">
        <v>827</v>
      </c>
      <c r="I158" s="714" t="s">
        <v>951</v>
      </c>
      <c r="J158" s="1443" t="s">
        <v>828</v>
      </c>
    </row>
    <row r="159" spans="1:10" x14ac:dyDescent="0.25">
      <c r="A159" s="1444">
        <v>1.2</v>
      </c>
      <c r="B159" s="1445" t="s">
        <v>829</v>
      </c>
      <c r="C159" s="1432" t="s">
        <v>826</v>
      </c>
      <c r="D159" s="1388" t="s">
        <v>974</v>
      </c>
      <c r="E159" s="1389">
        <v>158</v>
      </c>
      <c r="F159" s="1412">
        <v>7.17</v>
      </c>
      <c r="G159" s="1401" t="s">
        <v>825</v>
      </c>
      <c r="H159" s="740" t="s">
        <v>827</v>
      </c>
      <c r="I159" s="714" t="s">
        <v>951</v>
      </c>
      <c r="J159" s="1433" t="s">
        <v>828</v>
      </c>
    </row>
    <row r="160" spans="1:10" x14ac:dyDescent="0.25">
      <c r="A160" s="1398">
        <v>2.1</v>
      </c>
      <c r="B160" s="1393" t="s">
        <v>825</v>
      </c>
      <c r="C160" s="1434" t="s">
        <v>826</v>
      </c>
      <c r="D160" s="1388" t="s">
        <v>974</v>
      </c>
      <c r="E160" s="1389">
        <v>159</v>
      </c>
      <c r="F160" s="1390" t="s">
        <v>800</v>
      </c>
      <c r="G160" s="1401" t="s">
        <v>825</v>
      </c>
      <c r="H160" s="740" t="s">
        <v>827</v>
      </c>
      <c r="I160" s="714" t="s">
        <v>951</v>
      </c>
      <c r="J160" s="1395" t="s">
        <v>828</v>
      </c>
    </row>
    <row r="161" spans="1:10" x14ac:dyDescent="0.25">
      <c r="A161" s="1399">
        <v>2.2000000000000002</v>
      </c>
      <c r="B161" s="1400" t="s">
        <v>548</v>
      </c>
      <c r="C161" s="1434" t="s">
        <v>826</v>
      </c>
      <c r="D161" s="1388" t="s">
        <v>974</v>
      </c>
      <c r="E161" s="1389">
        <v>160</v>
      </c>
      <c r="F161" s="1390" t="s">
        <v>802</v>
      </c>
      <c r="G161" s="1394" t="s">
        <v>889</v>
      </c>
      <c r="H161" s="740" t="s">
        <v>827</v>
      </c>
      <c r="I161" s="714" t="s">
        <v>951</v>
      </c>
      <c r="J161" s="1395" t="s">
        <v>890</v>
      </c>
    </row>
    <row r="162" spans="1:10" x14ac:dyDescent="0.25">
      <c r="A162" s="1399">
        <v>2.2999999999999998</v>
      </c>
      <c r="B162" s="1400" t="s">
        <v>825</v>
      </c>
      <c r="C162" s="1434" t="s">
        <v>826</v>
      </c>
      <c r="D162" s="1388" t="s">
        <v>974</v>
      </c>
      <c r="E162" s="1389">
        <v>161</v>
      </c>
      <c r="F162" s="1402">
        <v>8.1999999999999993</v>
      </c>
      <c r="G162" s="1401" t="s">
        <v>947</v>
      </c>
      <c r="H162" s="714" t="s">
        <v>827</v>
      </c>
      <c r="I162" s="714" t="s">
        <v>951</v>
      </c>
      <c r="J162" s="1395" t="s">
        <v>948</v>
      </c>
    </row>
    <row r="163" spans="1:10" x14ac:dyDescent="0.25">
      <c r="A163" s="1399">
        <v>2.4</v>
      </c>
      <c r="B163" s="1400" t="s">
        <v>837</v>
      </c>
      <c r="C163" s="1434" t="s">
        <v>826</v>
      </c>
      <c r="D163" s="1388" t="s">
        <v>974</v>
      </c>
      <c r="E163" s="1389">
        <v>162</v>
      </c>
      <c r="F163" s="1402">
        <v>8.3000000000000007</v>
      </c>
      <c r="G163" s="1401" t="s">
        <v>825</v>
      </c>
      <c r="H163" s="714" t="s">
        <v>827</v>
      </c>
      <c r="I163" s="714" t="s">
        <v>951</v>
      </c>
      <c r="J163" s="1395" t="s">
        <v>828</v>
      </c>
    </row>
    <row r="164" spans="1:10" x14ac:dyDescent="0.25">
      <c r="A164" s="1399">
        <v>2.5</v>
      </c>
      <c r="B164" s="1400" t="s">
        <v>840</v>
      </c>
      <c r="C164" s="1434" t="s">
        <v>826</v>
      </c>
      <c r="D164" s="1388" t="s">
        <v>974</v>
      </c>
      <c r="E164" s="1389">
        <v>163</v>
      </c>
      <c r="F164" s="1402">
        <v>8.4</v>
      </c>
      <c r="G164" s="1401" t="s">
        <v>949</v>
      </c>
      <c r="H164" s="714" t="s">
        <v>827</v>
      </c>
      <c r="I164" s="714" t="s">
        <v>951</v>
      </c>
      <c r="J164" s="1395" t="s">
        <v>950</v>
      </c>
    </row>
    <row r="165" spans="1:10" ht="15.75" thickBot="1" x14ac:dyDescent="0.3">
      <c r="A165" s="1399">
        <v>2.6</v>
      </c>
      <c r="B165" s="1400" t="s">
        <v>841</v>
      </c>
      <c r="C165" s="1434" t="s">
        <v>826</v>
      </c>
      <c r="D165" s="1388" t="s">
        <v>974</v>
      </c>
      <c r="E165" s="1389">
        <v>164</v>
      </c>
      <c r="F165" s="1435">
        <v>8.5</v>
      </c>
      <c r="G165" s="1446" t="s">
        <v>825</v>
      </c>
      <c r="H165" s="1447" t="s">
        <v>827</v>
      </c>
      <c r="I165" s="714" t="s">
        <v>951</v>
      </c>
      <c r="J165" s="1438" t="s">
        <v>828</v>
      </c>
    </row>
    <row r="166" spans="1:10" ht="15.75" thickTop="1" x14ac:dyDescent="0.25">
      <c r="A166" s="1403" t="s">
        <v>842</v>
      </c>
      <c r="B166" s="1400" t="s">
        <v>548</v>
      </c>
      <c r="C166" s="1434" t="s">
        <v>826</v>
      </c>
      <c r="D166" s="1388" t="s">
        <v>974</v>
      </c>
      <c r="E166" s="1389">
        <v>165</v>
      </c>
      <c r="F166" s="1390" t="s">
        <v>684</v>
      </c>
      <c r="G166" s="1448" t="s">
        <v>825</v>
      </c>
      <c r="H166" s="714" t="s">
        <v>827</v>
      </c>
      <c r="I166" s="714" t="s">
        <v>975</v>
      </c>
      <c r="J166" s="1433" t="s">
        <v>828</v>
      </c>
    </row>
    <row r="167" spans="1:10" x14ac:dyDescent="0.25">
      <c r="A167" s="1399" t="s">
        <v>843</v>
      </c>
      <c r="B167" s="1400" t="s">
        <v>844</v>
      </c>
      <c r="C167" s="1434" t="s">
        <v>826</v>
      </c>
      <c r="D167" s="1388" t="s">
        <v>974</v>
      </c>
      <c r="E167" s="1389">
        <v>166</v>
      </c>
      <c r="F167" s="1390" t="s">
        <v>686</v>
      </c>
      <c r="G167" s="1394" t="s">
        <v>830</v>
      </c>
      <c r="H167" s="714" t="s">
        <v>827</v>
      </c>
      <c r="I167" s="714" t="s">
        <v>975</v>
      </c>
      <c r="J167" s="1395" t="s">
        <v>831</v>
      </c>
    </row>
    <row r="168" spans="1:10" x14ac:dyDescent="0.25">
      <c r="A168" s="1399">
        <v>2.8</v>
      </c>
      <c r="B168" s="1400" t="s">
        <v>846</v>
      </c>
      <c r="C168" s="1434" t="s">
        <v>826</v>
      </c>
      <c r="D168" s="1388" t="s">
        <v>974</v>
      </c>
      <c r="E168" s="1389">
        <v>167</v>
      </c>
      <c r="F168" s="1402">
        <v>1.2</v>
      </c>
      <c r="G168" s="1401" t="s">
        <v>952</v>
      </c>
      <c r="H168" s="714" t="s">
        <v>827</v>
      </c>
      <c r="I168" s="714" t="s">
        <v>975</v>
      </c>
      <c r="J168" s="1395" t="s">
        <v>833</v>
      </c>
    </row>
    <row r="169" spans="1:10" x14ac:dyDescent="0.25">
      <c r="A169" s="1399">
        <v>2.9</v>
      </c>
      <c r="B169" s="1400" t="s">
        <v>849</v>
      </c>
      <c r="C169" s="1434" t="s">
        <v>826</v>
      </c>
      <c r="D169" s="1388" t="s">
        <v>974</v>
      </c>
      <c r="E169" s="1389">
        <v>168</v>
      </c>
      <c r="F169" s="1390" t="s">
        <v>689</v>
      </c>
      <c r="G169" s="1401" t="s">
        <v>825</v>
      </c>
      <c r="H169" s="714" t="s">
        <v>827</v>
      </c>
      <c r="I169" s="714" t="s">
        <v>975</v>
      </c>
      <c r="J169" s="1395" t="s">
        <v>828</v>
      </c>
    </row>
    <row r="170" spans="1:10" x14ac:dyDescent="0.25">
      <c r="A170" s="1404" t="s">
        <v>708</v>
      </c>
      <c r="B170" s="1397" t="s">
        <v>841</v>
      </c>
      <c r="C170" s="1434" t="s">
        <v>826</v>
      </c>
      <c r="D170" s="1388" t="s">
        <v>974</v>
      </c>
      <c r="E170" s="1389">
        <v>169</v>
      </c>
      <c r="F170" s="1390" t="s">
        <v>691</v>
      </c>
      <c r="G170" s="1401" t="s">
        <v>835</v>
      </c>
      <c r="H170" s="714" t="s">
        <v>827</v>
      </c>
      <c r="I170" s="714" t="s">
        <v>975</v>
      </c>
      <c r="J170" s="1395" t="s">
        <v>836</v>
      </c>
    </row>
    <row r="171" spans="1:10" x14ac:dyDescent="0.25">
      <c r="A171" s="1398" t="s">
        <v>850</v>
      </c>
      <c r="B171" s="1393" t="s">
        <v>825</v>
      </c>
      <c r="C171" s="1434" t="s">
        <v>826</v>
      </c>
      <c r="D171" s="1388" t="s">
        <v>974</v>
      </c>
      <c r="E171" s="1389">
        <v>170</v>
      </c>
      <c r="F171" s="1402">
        <v>1.4</v>
      </c>
      <c r="G171" s="1401" t="s">
        <v>838</v>
      </c>
      <c r="H171" s="714" t="s">
        <v>827</v>
      </c>
      <c r="I171" s="714" t="s">
        <v>975</v>
      </c>
      <c r="J171" s="1395" t="s">
        <v>839</v>
      </c>
    </row>
    <row r="172" spans="1:10" x14ac:dyDescent="0.25">
      <c r="A172" s="1399" t="s">
        <v>853</v>
      </c>
      <c r="B172" s="1400" t="s">
        <v>825</v>
      </c>
      <c r="C172" s="1434" t="s">
        <v>826</v>
      </c>
      <c r="D172" s="1388" t="s">
        <v>974</v>
      </c>
      <c r="E172" s="1389">
        <v>171</v>
      </c>
      <c r="F172" s="1402">
        <v>2.1</v>
      </c>
      <c r="G172" s="1401" t="s">
        <v>825</v>
      </c>
      <c r="H172" s="714" t="s">
        <v>827</v>
      </c>
      <c r="I172" s="714" t="s">
        <v>975</v>
      </c>
      <c r="J172" s="1395" t="s">
        <v>828</v>
      </c>
    </row>
    <row r="173" spans="1:10" x14ac:dyDescent="0.25">
      <c r="A173" s="1399" t="s">
        <v>714</v>
      </c>
      <c r="B173" s="1405" t="s">
        <v>855</v>
      </c>
      <c r="C173" s="1434" t="s">
        <v>826</v>
      </c>
      <c r="D173" s="1388" t="s">
        <v>974</v>
      </c>
      <c r="E173" s="1389">
        <v>172</v>
      </c>
      <c r="F173" s="1402">
        <v>2.2000000000000002</v>
      </c>
      <c r="G173" s="1401" t="s">
        <v>548</v>
      </c>
      <c r="H173" s="714" t="s">
        <v>827</v>
      </c>
      <c r="I173" s="714" t="s">
        <v>975</v>
      </c>
      <c r="J173" s="1395" t="s">
        <v>548</v>
      </c>
    </row>
    <row r="174" spans="1:10" x14ac:dyDescent="0.25">
      <c r="A174" s="1399" t="s">
        <v>715</v>
      </c>
      <c r="B174" s="1400" t="s">
        <v>837</v>
      </c>
      <c r="C174" s="1434" t="s">
        <v>826</v>
      </c>
      <c r="D174" s="1388" t="s">
        <v>974</v>
      </c>
      <c r="E174" s="1389">
        <v>173</v>
      </c>
      <c r="F174" s="1402">
        <v>2.2999999999999998</v>
      </c>
      <c r="G174" s="1401" t="s">
        <v>825</v>
      </c>
      <c r="H174" s="714" t="s">
        <v>827</v>
      </c>
      <c r="I174" s="714" t="s">
        <v>975</v>
      </c>
      <c r="J174" s="1395" t="s">
        <v>828</v>
      </c>
    </row>
    <row r="175" spans="1:10" x14ac:dyDescent="0.25">
      <c r="A175" s="1399" t="s">
        <v>716</v>
      </c>
      <c r="B175" s="1400" t="s">
        <v>857</v>
      </c>
      <c r="C175" s="1434" t="s">
        <v>826</v>
      </c>
      <c r="D175" s="1388" t="s">
        <v>974</v>
      </c>
      <c r="E175" s="1389">
        <v>174</v>
      </c>
      <c r="F175" s="1402">
        <v>2.4</v>
      </c>
      <c r="G175" s="1394" t="s">
        <v>837</v>
      </c>
      <c r="H175" s="714" t="s">
        <v>827</v>
      </c>
      <c r="I175" s="714" t="s">
        <v>975</v>
      </c>
      <c r="J175" s="1395" t="s">
        <v>845</v>
      </c>
    </row>
    <row r="176" spans="1:10" x14ac:dyDescent="0.25">
      <c r="A176" s="1399" t="s">
        <v>858</v>
      </c>
      <c r="B176" s="1405" t="s">
        <v>859</v>
      </c>
      <c r="C176" s="1434" t="s">
        <v>826</v>
      </c>
      <c r="D176" s="1388" t="s">
        <v>974</v>
      </c>
      <c r="E176" s="1389">
        <v>175</v>
      </c>
      <c r="F176" s="1402">
        <v>2.5</v>
      </c>
      <c r="G176" s="1394" t="s">
        <v>847</v>
      </c>
      <c r="H176" s="714" t="s">
        <v>827</v>
      </c>
      <c r="I176" s="714" t="s">
        <v>975</v>
      </c>
      <c r="J176" s="1395" t="s">
        <v>848</v>
      </c>
    </row>
    <row r="177" spans="1:10" x14ac:dyDescent="0.25">
      <c r="A177" s="1399" t="s">
        <v>860</v>
      </c>
      <c r="B177" s="1400" t="s">
        <v>861</v>
      </c>
      <c r="C177" s="1434" t="s">
        <v>826</v>
      </c>
      <c r="D177" s="1388" t="s">
        <v>974</v>
      </c>
      <c r="E177" s="1389">
        <v>176</v>
      </c>
      <c r="F177" s="1402">
        <v>2.6</v>
      </c>
      <c r="G177" s="1401" t="s">
        <v>825</v>
      </c>
      <c r="H177" s="714" t="s">
        <v>827</v>
      </c>
      <c r="I177" s="714" t="s">
        <v>975</v>
      </c>
      <c r="J177" s="1395" t="s">
        <v>828</v>
      </c>
    </row>
    <row r="178" spans="1:10" x14ac:dyDescent="0.25">
      <c r="A178" s="1399" t="s">
        <v>865</v>
      </c>
      <c r="B178" s="1397" t="s">
        <v>825</v>
      </c>
      <c r="C178" s="1434" t="s">
        <v>826</v>
      </c>
      <c r="D178" s="1388" t="s">
        <v>974</v>
      </c>
      <c r="E178" s="1389">
        <v>177</v>
      </c>
      <c r="F178" s="1390" t="s">
        <v>702</v>
      </c>
      <c r="G178" s="1394" t="s">
        <v>825</v>
      </c>
      <c r="H178" s="740" t="s">
        <v>827</v>
      </c>
      <c r="I178" s="714" t="s">
        <v>975</v>
      </c>
      <c r="J178" s="1395" t="s">
        <v>828</v>
      </c>
    </row>
    <row r="179" spans="1:10" x14ac:dyDescent="0.25">
      <c r="A179" s="1408" t="s">
        <v>867</v>
      </c>
      <c r="B179" s="1409" t="s">
        <v>825</v>
      </c>
      <c r="C179" s="1434" t="s">
        <v>826</v>
      </c>
      <c r="D179" s="1388" t="s">
        <v>974</v>
      </c>
      <c r="E179" s="1389">
        <v>178</v>
      </c>
      <c r="F179" s="1390" t="s">
        <v>704</v>
      </c>
      <c r="G179" s="1394" t="s">
        <v>851</v>
      </c>
      <c r="H179" s="740" t="s">
        <v>827</v>
      </c>
      <c r="I179" s="714" t="s">
        <v>975</v>
      </c>
      <c r="J179" s="1395" t="s">
        <v>852</v>
      </c>
    </row>
    <row r="180" spans="1:10" x14ac:dyDescent="0.25">
      <c r="A180" s="1410" t="s">
        <v>871</v>
      </c>
      <c r="B180" s="1411" t="s">
        <v>861</v>
      </c>
      <c r="C180" s="1434" t="s">
        <v>826</v>
      </c>
      <c r="D180" s="1388" t="s">
        <v>974</v>
      </c>
      <c r="E180" s="1389">
        <v>179</v>
      </c>
      <c r="F180" s="1402">
        <v>2.8</v>
      </c>
      <c r="G180" s="1401" t="s">
        <v>954</v>
      </c>
      <c r="H180" s="714" t="s">
        <v>827</v>
      </c>
      <c r="I180" s="714" t="s">
        <v>975</v>
      </c>
      <c r="J180" s="1395" t="s">
        <v>955</v>
      </c>
    </row>
    <row r="181" spans="1:10" x14ac:dyDescent="0.25">
      <c r="A181" s="1410" t="s">
        <v>873</v>
      </c>
      <c r="B181" s="1413" t="s">
        <v>874</v>
      </c>
      <c r="C181" s="1434" t="s">
        <v>826</v>
      </c>
      <c r="D181" s="1388" t="s">
        <v>974</v>
      </c>
      <c r="E181" s="1389">
        <v>180</v>
      </c>
      <c r="F181" s="1402">
        <v>2.9</v>
      </c>
      <c r="G181" s="1401" t="s">
        <v>837</v>
      </c>
      <c r="H181" s="714" t="s">
        <v>827</v>
      </c>
      <c r="I181" s="714" t="s">
        <v>975</v>
      </c>
      <c r="J181" s="1395" t="s">
        <v>845</v>
      </c>
    </row>
    <row r="182" spans="1:10" x14ac:dyDescent="0.25">
      <c r="A182" s="1414" t="s">
        <v>877</v>
      </c>
      <c r="B182" s="1415" t="s">
        <v>548</v>
      </c>
      <c r="C182" s="1434" t="s">
        <v>826</v>
      </c>
      <c r="D182" s="1388" t="s">
        <v>974</v>
      </c>
      <c r="E182" s="1389">
        <v>181</v>
      </c>
      <c r="F182" s="1406" t="s">
        <v>708</v>
      </c>
      <c r="G182" s="1394" t="s">
        <v>841</v>
      </c>
      <c r="H182" s="714" t="s">
        <v>827</v>
      </c>
      <c r="I182" s="714" t="s">
        <v>975</v>
      </c>
      <c r="J182" s="1395" t="s">
        <v>856</v>
      </c>
    </row>
    <row r="183" spans="1:10" x14ac:dyDescent="0.25">
      <c r="A183" s="1416" t="s">
        <v>878</v>
      </c>
      <c r="B183" s="1417" t="s">
        <v>825</v>
      </c>
      <c r="C183" s="1434" t="s">
        <v>826</v>
      </c>
      <c r="D183" s="1388" t="s">
        <v>974</v>
      </c>
      <c r="E183" s="1389">
        <v>182</v>
      </c>
      <c r="F183" s="1402">
        <v>3.1</v>
      </c>
      <c r="G183" s="1401" t="s">
        <v>825</v>
      </c>
      <c r="H183" s="714" t="s">
        <v>827</v>
      </c>
      <c r="I183" s="714" t="s">
        <v>975</v>
      </c>
      <c r="J183" s="1395" t="s">
        <v>828</v>
      </c>
    </row>
    <row r="184" spans="1:10" x14ac:dyDescent="0.25">
      <c r="A184" s="1418" t="s">
        <v>879</v>
      </c>
      <c r="B184" s="1417" t="s">
        <v>548</v>
      </c>
      <c r="C184" s="1434" t="s">
        <v>826</v>
      </c>
      <c r="D184" s="1388" t="s">
        <v>974</v>
      </c>
      <c r="E184" s="1389">
        <v>183</v>
      </c>
      <c r="F184" s="1402">
        <v>3.2</v>
      </c>
      <c r="G184" s="1401" t="s">
        <v>825</v>
      </c>
      <c r="H184" s="714" t="s">
        <v>827</v>
      </c>
      <c r="I184" s="714" t="s">
        <v>975</v>
      </c>
      <c r="J184" s="1395" t="s">
        <v>828</v>
      </c>
    </row>
    <row r="185" spans="1:10" x14ac:dyDescent="0.25">
      <c r="A185" s="1416" t="s">
        <v>883</v>
      </c>
      <c r="B185" s="1417" t="s">
        <v>837</v>
      </c>
      <c r="C185" s="1434" t="s">
        <v>826</v>
      </c>
      <c r="D185" s="1388" t="s">
        <v>974</v>
      </c>
      <c r="E185" s="1389">
        <v>184</v>
      </c>
      <c r="F185" s="1390" t="s">
        <v>862</v>
      </c>
      <c r="G185" s="1394" t="s">
        <v>863</v>
      </c>
      <c r="H185" s="740" t="s">
        <v>827</v>
      </c>
      <c r="I185" s="714" t="s">
        <v>975</v>
      </c>
      <c r="J185" s="1395" t="s">
        <v>864</v>
      </c>
    </row>
    <row r="186" spans="1:10" x14ac:dyDescent="0.25">
      <c r="A186" s="1418" t="s">
        <v>884</v>
      </c>
      <c r="B186" s="1417" t="s">
        <v>825</v>
      </c>
      <c r="C186" s="1434" t="s">
        <v>826</v>
      </c>
      <c r="D186" s="1388" t="s">
        <v>974</v>
      </c>
      <c r="E186" s="1389">
        <v>185</v>
      </c>
      <c r="F186" s="1390" t="s">
        <v>866</v>
      </c>
      <c r="G186" s="1394" t="s">
        <v>837</v>
      </c>
      <c r="H186" s="740" t="s">
        <v>827</v>
      </c>
      <c r="I186" s="714" t="s">
        <v>975</v>
      </c>
      <c r="J186" s="1395" t="s">
        <v>845</v>
      </c>
    </row>
    <row r="187" spans="1:10" x14ac:dyDescent="0.25">
      <c r="A187" s="1418" t="s">
        <v>887</v>
      </c>
      <c r="B187" s="1419" t="s">
        <v>888</v>
      </c>
      <c r="C187" s="1434" t="s">
        <v>826</v>
      </c>
      <c r="D187" s="1388" t="s">
        <v>974</v>
      </c>
      <c r="E187" s="1389">
        <v>186</v>
      </c>
      <c r="F187" s="1390" t="s">
        <v>868</v>
      </c>
      <c r="G187" s="1401" t="s">
        <v>869</v>
      </c>
      <c r="H187" s="740" t="s">
        <v>827</v>
      </c>
      <c r="I187" s="714" t="s">
        <v>975</v>
      </c>
      <c r="J187" s="1395" t="s">
        <v>870</v>
      </c>
    </row>
    <row r="188" spans="1:10" x14ac:dyDescent="0.25">
      <c r="A188" s="1418" t="s">
        <v>891</v>
      </c>
      <c r="B188" s="1417" t="s">
        <v>841</v>
      </c>
      <c r="C188" s="1434" t="s">
        <v>826</v>
      </c>
      <c r="D188" s="1388" t="s">
        <v>974</v>
      </c>
      <c r="E188" s="1389">
        <v>187</v>
      </c>
      <c r="F188" s="1402">
        <v>3.4</v>
      </c>
      <c r="G188" s="1401" t="s">
        <v>872</v>
      </c>
      <c r="H188" s="714" t="s">
        <v>827</v>
      </c>
      <c r="I188" s="714" t="s">
        <v>975</v>
      </c>
      <c r="J188" s="1395" t="s">
        <v>864</v>
      </c>
    </row>
    <row r="189" spans="1:10" x14ac:dyDescent="0.25">
      <c r="A189" s="1418" t="s">
        <v>892</v>
      </c>
      <c r="B189" s="1417" t="s">
        <v>825</v>
      </c>
      <c r="C189" s="1434" t="s">
        <v>826</v>
      </c>
      <c r="D189" s="1388" t="s">
        <v>974</v>
      </c>
      <c r="E189" s="1389">
        <v>188</v>
      </c>
      <c r="F189" s="1402">
        <v>3.5</v>
      </c>
      <c r="G189" s="1394" t="s">
        <v>875</v>
      </c>
      <c r="H189" s="714" t="s">
        <v>827</v>
      </c>
      <c r="I189" s="714" t="s">
        <v>975</v>
      </c>
      <c r="J189" s="1395" t="s">
        <v>876</v>
      </c>
    </row>
    <row r="190" spans="1:10" x14ac:dyDescent="0.25">
      <c r="A190" s="1418" t="s">
        <v>893</v>
      </c>
      <c r="B190" s="1417" t="s">
        <v>548</v>
      </c>
      <c r="C190" s="1434" t="s">
        <v>826</v>
      </c>
      <c r="D190" s="1388" t="s">
        <v>974</v>
      </c>
      <c r="E190" s="1389">
        <v>189</v>
      </c>
      <c r="F190" s="1402">
        <v>3.6</v>
      </c>
      <c r="G190" s="1401" t="s">
        <v>825</v>
      </c>
      <c r="H190" s="714" t="s">
        <v>827</v>
      </c>
      <c r="I190" s="714" t="s">
        <v>975</v>
      </c>
      <c r="J190" s="1395" t="s">
        <v>828</v>
      </c>
    </row>
    <row r="191" spans="1:10" x14ac:dyDescent="0.25">
      <c r="A191" s="1416" t="s">
        <v>896</v>
      </c>
      <c r="B191" s="1417" t="s">
        <v>834</v>
      </c>
      <c r="C191" s="1434" t="s">
        <v>826</v>
      </c>
      <c r="D191" s="1388" t="s">
        <v>974</v>
      </c>
      <c r="E191" s="1389">
        <v>190</v>
      </c>
      <c r="F191" s="1390" t="s">
        <v>723</v>
      </c>
      <c r="G191" s="1401" t="s">
        <v>825</v>
      </c>
      <c r="H191" s="740" t="s">
        <v>827</v>
      </c>
      <c r="I191" s="714" t="s">
        <v>975</v>
      </c>
      <c r="J191" s="1395" t="s">
        <v>828</v>
      </c>
    </row>
    <row r="192" spans="1:10" x14ac:dyDescent="0.25">
      <c r="A192" s="1418" t="s">
        <v>897</v>
      </c>
      <c r="B192" s="1417" t="s">
        <v>898</v>
      </c>
      <c r="C192" s="1434" t="s">
        <v>826</v>
      </c>
      <c r="D192" s="1388" t="s">
        <v>974</v>
      </c>
      <c r="E192" s="1389">
        <v>191</v>
      </c>
      <c r="F192" s="1390" t="s">
        <v>725</v>
      </c>
      <c r="G192" s="1401" t="s">
        <v>957</v>
      </c>
      <c r="H192" s="740" t="s">
        <v>827</v>
      </c>
      <c r="I192" s="714" t="s">
        <v>975</v>
      </c>
      <c r="J192" s="1395" t="s">
        <v>882</v>
      </c>
    </row>
    <row r="193" spans="1:10" x14ac:dyDescent="0.25">
      <c r="A193" s="1418" t="s">
        <v>901</v>
      </c>
      <c r="B193" s="1417" t="s">
        <v>902</v>
      </c>
      <c r="C193" s="1434" t="s">
        <v>826</v>
      </c>
      <c r="D193" s="1388" t="s">
        <v>974</v>
      </c>
      <c r="E193" s="1389">
        <v>192</v>
      </c>
      <c r="F193" s="1402">
        <v>4.2</v>
      </c>
      <c r="G193" s="1401" t="s">
        <v>926</v>
      </c>
      <c r="H193" s="714" t="s">
        <v>827</v>
      </c>
      <c r="I193" s="714" t="s">
        <v>975</v>
      </c>
      <c r="J193" s="1395" t="s">
        <v>900</v>
      </c>
    </row>
    <row r="194" spans="1:10" x14ac:dyDescent="0.25">
      <c r="A194" s="1418" t="s">
        <v>904</v>
      </c>
      <c r="B194" s="1417" t="s">
        <v>905</v>
      </c>
      <c r="C194" s="1434" t="s">
        <v>826</v>
      </c>
      <c r="D194" s="1388" t="s">
        <v>974</v>
      </c>
      <c r="E194" s="1389">
        <v>193</v>
      </c>
      <c r="F194" s="1402">
        <v>4.3</v>
      </c>
      <c r="G194" s="1394" t="s">
        <v>885</v>
      </c>
      <c r="H194" s="714" t="s">
        <v>827</v>
      </c>
      <c r="I194" s="714" t="s">
        <v>975</v>
      </c>
      <c r="J194" s="1395" t="s">
        <v>886</v>
      </c>
    </row>
    <row r="195" spans="1:10" x14ac:dyDescent="0.25">
      <c r="A195" s="1418" t="s">
        <v>906</v>
      </c>
      <c r="B195" s="1417" t="s">
        <v>825</v>
      </c>
      <c r="C195" s="1434" t="s">
        <v>826</v>
      </c>
      <c r="D195" s="1388" t="s">
        <v>974</v>
      </c>
      <c r="E195" s="1389">
        <v>194</v>
      </c>
      <c r="F195" s="1402">
        <v>4.4000000000000004</v>
      </c>
      <c r="G195" s="1394" t="s">
        <v>889</v>
      </c>
      <c r="H195" s="714" t="s">
        <v>827</v>
      </c>
      <c r="I195" s="714" t="s">
        <v>975</v>
      </c>
      <c r="J195" s="1395" t="s">
        <v>890</v>
      </c>
    </row>
    <row r="196" spans="1:10" x14ac:dyDescent="0.25">
      <c r="A196" s="1418" t="s">
        <v>755</v>
      </c>
      <c r="B196" s="1417" t="s">
        <v>907</v>
      </c>
      <c r="C196" s="1434" t="s">
        <v>826</v>
      </c>
      <c r="D196" s="1388" t="s">
        <v>974</v>
      </c>
      <c r="E196" s="1389">
        <v>195</v>
      </c>
      <c r="F196" s="1390" t="s">
        <v>732</v>
      </c>
      <c r="G196" s="1401" t="s">
        <v>548</v>
      </c>
      <c r="H196" s="740" t="s">
        <v>827</v>
      </c>
      <c r="I196" s="714" t="s">
        <v>975</v>
      </c>
      <c r="J196" s="1395" t="s">
        <v>548</v>
      </c>
    </row>
    <row r="197" spans="1:10" x14ac:dyDescent="0.25">
      <c r="A197" s="1418">
        <v>5.1100000000000003</v>
      </c>
      <c r="B197" s="1417" t="s">
        <v>958</v>
      </c>
      <c r="C197" s="1434" t="s">
        <v>826</v>
      </c>
      <c r="D197" s="1388" t="s">
        <v>974</v>
      </c>
      <c r="E197" s="1389">
        <v>196</v>
      </c>
      <c r="F197" s="1390" t="s">
        <v>734</v>
      </c>
      <c r="G197" s="1401" t="s">
        <v>825</v>
      </c>
      <c r="H197" s="740" t="s">
        <v>827</v>
      </c>
      <c r="I197" s="714" t="s">
        <v>975</v>
      </c>
      <c r="J197" s="1395" t="s">
        <v>828</v>
      </c>
    </row>
    <row r="198" spans="1:10" x14ac:dyDescent="0.25">
      <c r="A198" s="1418">
        <v>5.12</v>
      </c>
      <c r="B198" s="1417" t="s">
        <v>849</v>
      </c>
      <c r="C198" s="1434" t="s">
        <v>826</v>
      </c>
      <c r="D198" s="1388" t="s">
        <v>974</v>
      </c>
      <c r="E198" s="1389">
        <v>197</v>
      </c>
      <c r="F198" s="1390" t="s">
        <v>736</v>
      </c>
      <c r="G198" s="1420" t="s">
        <v>548</v>
      </c>
      <c r="H198" s="740" t="s">
        <v>827</v>
      </c>
      <c r="I198" s="714" t="s">
        <v>975</v>
      </c>
      <c r="J198" s="1395" t="s">
        <v>548</v>
      </c>
    </row>
    <row r="199" spans="1:10" x14ac:dyDescent="0.25">
      <c r="A199" s="1421">
        <v>5.13</v>
      </c>
      <c r="B199" s="1422" t="s">
        <v>959</v>
      </c>
      <c r="C199" s="1434" t="s">
        <v>826</v>
      </c>
      <c r="D199" s="1388" t="s">
        <v>974</v>
      </c>
      <c r="E199" s="1389">
        <v>198</v>
      </c>
      <c r="F199" s="1390" t="s">
        <v>738</v>
      </c>
      <c r="G199" s="1401" t="s">
        <v>837</v>
      </c>
      <c r="H199" s="740" t="s">
        <v>827</v>
      </c>
      <c r="I199" s="714" t="s">
        <v>975</v>
      </c>
      <c r="J199" s="1395" t="s">
        <v>845</v>
      </c>
    </row>
    <row r="200" spans="1:10" x14ac:dyDescent="0.25">
      <c r="A200" s="1414" t="s">
        <v>909</v>
      </c>
      <c r="B200" s="1415" t="s">
        <v>825</v>
      </c>
      <c r="C200" s="1434" t="s">
        <v>826</v>
      </c>
      <c r="D200" s="1388" t="s">
        <v>974</v>
      </c>
      <c r="E200" s="1389">
        <v>199</v>
      </c>
      <c r="F200" s="1402">
        <v>5.3</v>
      </c>
      <c r="G200" s="1394" t="s">
        <v>899</v>
      </c>
      <c r="H200" s="714" t="s">
        <v>827</v>
      </c>
      <c r="I200" s="714" t="s">
        <v>975</v>
      </c>
      <c r="J200" s="1395" t="s">
        <v>900</v>
      </c>
    </row>
    <row r="201" spans="1:10" x14ac:dyDescent="0.25">
      <c r="A201" s="1418" t="s">
        <v>910</v>
      </c>
      <c r="B201" s="1417" t="s">
        <v>825</v>
      </c>
      <c r="C201" s="1434" t="s">
        <v>826</v>
      </c>
      <c r="D201" s="1388" t="s">
        <v>974</v>
      </c>
      <c r="E201" s="1389">
        <v>200</v>
      </c>
      <c r="F201" s="1402">
        <v>5.4</v>
      </c>
      <c r="G201" s="1401" t="s">
        <v>903</v>
      </c>
      <c r="H201" s="714" t="s">
        <v>827</v>
      </c>
      <c r="I201" s="714" t="s">
        <v>975</v>
      </c>
      <c r="J201" s="1395" t="s">
        <v>864</v>
      </c>
    </row>
    <row r="202" spans="1:10" x14ac:dyDescent="0.25">
      <c r="A202" s="1418" t="s">
        <v>911</v>
      </c>
      <c r="B202" s="1417" t="s">
        <v>857</v>
      </c>
      <c r="C202" s="1434" t="s">
        <v>826</v>
      </c>
      <c r="D202" s="1388" t="s">
        <v>974</v>
      </c>
      <c r="E202" s="1389">
        <v>201</v>
      </c>
      <c r="F202" s="1402">
        <v>5.5</v>
      </c>
      <c r="G202" s="1394" t="s">
        <v>841</v>
      </c>
      <c r="H202" s="714" t="s">
        <v>827</v>
      </c>
      <c r="I202" s="714" t="s">
        <v>975</v>
      </c>
      <c r="J202" s="1395" t="s">
        <v>856</v>
      </c>
    </row>
    <row r="203" spans="1:10" x14ac:dyDescent="0.25">
      <c r="A203" s="1418" t="s">
        <v>912</v>
      </c>
      <c r="B203" s="1417" t="s">
        <v>913</v>
      </c>
      <c r="C203" s="1434" t="s">
        <v>826</v>
      </c>
      <c r="D203" s="1388" t="s">
        <v>974</v>
      </c>
      <c r="E203" s="1389">
        <v>202</v>
      </c>
      <c r="F203" s="1402">
        <v>5.6</v>
      </c>
      <c r="G203" s="1401" t="s">
        <v>825</v>
      </c>
      <c r="H203" s="714" t="s">
        <v>827</v>
      </c>
      <c r="I203" s="714" t="s">
        <v>975</v>
      </c>
      <c r="J203" s="1395" t="s">
        <v>828</v>
      </c>
    </row>
    <row r="204" spans="1:10" x14ac:dyDescent="0.25">
      <c r="A204" s="1418" t="s">
        <v>914</v>
      </c>
      <c r="B204" s="1417" t="s">
        <v>857</v>
      </c>
      <c r="C204" s="1434" t="s">
        <v>826</v>
      </c>
      <c r="D204" s="1388" t="s">
        <v>974</v>
      </c>
      <c r="E204" s="1389">
        <v>203</v>
      </c>
      <c r="F204" s="1390" t="s">
        <v>744</v>
      </c>
      <c r="G204" s="1401" t="s">
        <v>548</v>
      </c>
      <c r="H204" s="740" t="s">
        <v>827</v>
      </c>
      <c r="I204" s="714" t="s">
        <v>975</v>
      </c>
      <c r="J204" s="1395" t="s">
        <v>548</v>
      </c>
    </row>
    <row r="205" spans="1:10" x14ac:dyDescent="0.25">
      <c r="A205" s="1418" t="s">
        <v>915</v>
      </c>
      <c r="B205" s="1417" t="s">
        <v>857</v>
      </c>
      <c r="C205" s="1434" t="s">
        <v>826</v>
      </c>
      <c r="D205" s="1388" t="s">
        <v>974</v>
      </c>
      <c r="E205" s="1389">
        <v>204</v>
      </c>
      <c r="F205" s="1390" t="s">
        <v>746</v>
      </c>
      <c r="G205" s="1401" t="s">
        <v>834</v>
      </c>
      <c r="H205" s="740" t="s">
        <v>827</v>
      </c>
      <c r="I205" s="714" t="s">
        <v>975</v>
      </c>
      <c r="J205" s="1395" t="s">
        <v>854</v>
      </c>
    </row>
    <row r="206" spans="1:10" x14ac:dyDescent="0.25">
      <c r="A206" s="1418" t="s">
        <v>916</v>
      </c>
      <c r="B206" s="1417" t="s">
        <v>837</v>
      </c>
      <c r="C206" s="1434" t="s">
        <v>826</v>
      </c>
      <c r="D206" s="1388" t="s">
        <v>974</v>
      </c>
      <c r="E206" s="1389">
        <v>205</v>
      </c>
      <c r="F206" s="1390" t="s">
        <v>748</v>
      </c>
      <c r="G206" s="1401" t="s">
        <v>961</v>
      </c>
      <c r="H206" s="740" t="s">
        <v>827</v>
      </c>
      <c r="I206" s="714" t="s">
        <v>975</v>
      </c>
      <c r="J206" s="1439" t="s">
        <v>962</v>
      </c>
    </row>
    <row r="207" spans="1:10" x14ac:dyDescent="0.25">
      <c r="A207" s="1418" t="s">
        <v>917</v>
      </c>
      <c r="B207" s="1417" t="s">
        <v>837</v>
      </c>
      <c r="C207" s="1434" t="s">
        <v>826</v>
      </c>
      <c r="D207" s="1388" t="s">
        <v>974</v>
      </c>
      <c r="E207" s="1389">
        <v>206</v>
      </c>
      <c r="F207" s="1390" t="s">
        <v>750</v>
      </c>
      <c r="G207" s="1394" t="s">
        <v>902</v>
      </c>
      <c r="H207" s="740" t="s">
        <v>827</v>
      </c>
      <c r="I207" s="714" t="s">
        <v>975</v>
      </c>
      <c r="J207" s="1395" t="s">
        <v>908</v>
      </c>
    </row>
    <row r="208" spans="1:10" x14ac:dyDescent="0.25">
      <c r="A208" s="1421" t="s">
        <v>918</v>
      </c>
      <c r="B208" s="1422" t="s">
        <v>919</v>
      </c>
      <c r="C208" s="1434" t="s">
        <v>826</v>
      </c>
      <c r="D208" s="1388" t="s">
        <v>974</v>
      </c>
      <c r="E208" s="1389">
        <v>207</v>
      </c>
      <c r="F208" s="1390" t="s">
        <v>752</v>
      </c>
      <c r="G208" s="1401" t="s">
        <v>963</v>
      </c>
      <c r="H208" s="740" t="s">
        <v>827</v>
      </c>
      <c r="I208" s="714" t="s">
        <v>975</v>
      </c>
      <c r="J208" s="1423" t="s">
        <v>964</v>
      </c>
    </row>
    <row r="209" spans="1:10" x14ac:dyDescent="0.25">
      <c r="A209" s="1414" t="s">
        <v>920</v>
      </c>
      <c r="B209" s="1415" t="s">
        <v>825</v>
      </c>
      <c r="C209" s="1434" t="s">
        <v>826</v>
      </c>
      <c r="D209" s="1388" t="s">
        <v>974</v>
      </c>
      <c r="E209" s="1389">
        <v>208</v>
      </c>
      <c r="F209" s="1402">
        <v>5.9</v>
      </c>
      <c r="G209" s="1401" t="s">
        <v>825</v>
      </c>
      <c r="H209" s="714" t="s">
        <v>827</v>
      </c>
      <c r="I209" s="714" t="s">
        <v>975</v>
      </c>
      <c r="J209" s="1395" t="s">
        <v>828</v>
      </c>
    </row>
    <row r="210" spans="1:10" x14ac:dyDescent="0.25">
      <c r="A210" s="1418" t="s">
        <v>923</v>
      </c>
      <c r="B210" s="1419" t="s">
        <v>924</v>
      </c>
      <c r="C210" s="1434" t="s">
        <v>826</v>
      </c>
      <c r="D210" s="1388" t="s">
        <v>974</v>
      </c>
      <c r="E210" s="1389">
        <v>209</v>
      </c>
      <c r="F210" s="1406" t="s">
        <v>755</v>
      </c>
      <c r="G210" s="1401" t="s">
        <v>976</v>
      </c>
      <c r="H210" s="714" t="s">
        <v>827</v>
      </c>
      <c r="I210" s="714" t="s">
        <v>975</v>
      </c>
      <c r="J210" s="1395" t="s">
        <v>966</v>
      </c>
    </row>
    <row r="211" spans="1:10" x14ac:dyDescent="0.25">
      <c r="A211" s="1418" t="s">
        <v>925</v>
      </c>
      <c r="B211" s="1417" t="s">
        <v>926</v>
      </c>
      <c r="C211" s="1434" t="s">
        <v>826</v>
      </c>
      <c r="D211" s="1388" t="s">
        <v>974</v>
      </c>
      <c r="E211" s="1389">
        <v>210</v>
      </c>
      <c r="F211" s="1402">
        <v>5.1100000000000003</v>
      </c>
      <c r="G211" s="1401" t="s">
        <v>958</v>
      </c>
      <c r="H211" s="714" t="s">
        <v>827</v>
      </c>
      <c r="I211" s="714" t="s">
        <v>975</v>
      </c>
      <c r="J211" s="1395" t="s">
        <v>968</v>
      </c>
    </row>
    <row r="212" spans="1:10" x14ac:dyDescent="0.25">
      <c r="A212" s="1418" t="s">
        <v>928</v>
      </c>
      <c r="B212" s="1417" t="s">
        <v>825</v>
      </c>
      <c r="C212" s="1434" t="s">
        <v>826</v>
      </c>
      <c r="D212" s="1388" t="s">
        <v>974</v>
      </c>
      <c r="E212" s="1389">
        <v>211</v>
      </c>
      <c r="F212" s="1402">
        <v>5.12</v>
      </c>
      <c r="G212" s="1401" t="s">
        <v>849</v>
      </c>
      <c r="H212" s="714" t="s">
        <v>827</v>
      </c>
      <c r="I212" s="714" t="s">
        <v>975</v>
      </c>
      <c r="J212" s="1395">
        <v>10</v>
      </c>
    </row>
    <row r="213" spans="1:10" x14ac:dyDescent="0.25">
      <c r="A213" s="1416" t="s">
        <v>929</v>
      </c>
      <c r="B213" s="1417" t="s">
        <v>548</v>
      </c>
      <c r="C213" s="1434" t="s">
        <v>826</v>
      </c>
      <c r="D213" s="1388" t="s">
        <v>974</v>
      </c>
      <c r="E213" s="1389">
        <v>212</v>
      </c>
      <c r="F213" s="1402">
        <v>5.13</v>
      </c>
      <c r="G213" s="1401" t="s">
        <v>977</v>
      </c>
      <c r="H213" s="714" t="s">
        <v>827</v>
      </c>
      <c r="I213" s="714" t="s">
        <v>975</v>
      </c>
      <c r="J213" s="1395" t="s">
        <v>970</v>
      </c>
    </row>
    <row r="214" spans="1:10" x14ac:dyDescent="0.25">
      <c r="A214" s="1418" t="s">
        <v>930</v>
      </c>
      <c r="B214" s="1417" t="s">
        <v>548</v>
      </c>
      <c r="C214" s="1434" t="s">
        <v>826</v>
      </c>
      <c r="D214" s="1388" t="s">
        <v>974</v>
      </c>
      <c r="E214" s="1389">
        <v>213</v>
      </c>
      <c r="F214" s="1402">
        <v>6.1</v>
      </c>
      <c r="G214" s="1401" t="s">
        <v>825</v>
      </c>
      <c r="H214" s="714" t="s">
        <v>827</v>
      </c>
      <c r="I214" s="714" t="s">
        <v>975</v>
      </c>
      <c r="J214" s="1395" t="s">
        <v>828</v>
      </c>
    </row>
    <row r="215" spans="1:10" x14ac:dyDescent="0.25">
      <c r="A215" s="1416" t="s">
        <v>932</v>
      </c>
      <c r="B215" s="1417" t="s">
        <v>841</v>
      </c>
      <c r="C215" s="1434" t="s">
        <v>826</v>
      </c>
      <c r="D215" s="1388" t="s">
        <v>974</v>
      </c>
      <c r="E215" s="1389">
        <v>214</v>
      </c>
      <c r="F215" s="1402">
        <v>6.2</v>
      </c>
      <c r="G215" s="1401" t="s">
        <v>825</v>
      </c>
      <c r="H215" s="714" t="s">
        <v>827</v>
      </c>
      <c r="I215" s="714" t="s">
        <v>975</v>
      </c>
      <c r="J215" s="1395" t="s">
        <v>828</v>
      </c>
    </row>
    <row r="216" spans="1:10" x14ac:dyDescent="0.25">
      <c r="A216" s="1418">
        <v>7.5</v>
      </c>
      <c r="B216" s="1417" t="s">
        <v>825</v>
      </c>
      <c r="C216" s="1434" t="s">
        <v>826</v>
      </c>
      <c r="D216" s="1388" t="s">
        <v>974</v>
      </c>
      <c r="E216" s="1389">
        <v>215</v>
      </c>
      <c r="F216" s="1402">
        <v>6.3</v>
      </c>
      <c r="G216" s="1401" t="s">
        <v>869</v>
      </c>
      <c r="H216" s="714" t="s">
        <v>827</v>
      </c>
      <c r="I216" s="714" t="s">
        <v>975</v>
      </c>
      <c r="J216" s="1423" t="s">
        <v>870</v>
      </c>
    </row>
    <row r="217" spans="1:10" x14ac:dyDescent="0.25">
      <c r="A217" s="1418">
        <v>7.6</v>
      </c>
      <c r="B217" s="1417" t="s">
        <v>825</v>
      </c>
      <c r="C217" s="1434" t="s">
        <v>826</v>
      </c>
      <c r="D217" s="1388" t="s">
        <v>974</v>
      </c>
      <c r="E217" s="1389">
        <v>216</v>
      </c>
      <c r="F217" s="1402">
        <v>6.4</v>
      </c>
      <c r="G217" s="1401" t="s">
        <v>921</v>
      </c>
      <c r="H217" s="714" t="s">
        <v>827</v>
      </c>
      <c r="I217" s="714" t="s">
        <v>975</v>
      </c>
      <c r="J217" s="1395" t="s">
        <v>922</v>
      </c>
    </row>
    <row r="218" spans="1:10" x14ac:dyDescent="0.25">
      <c r="A218" s="1418">
        <v>7.7</v>
      </c>
      <c r="B218" s="1417" t="s">
        <v>825</v>
      </c>
      <c r="C218" s="1434" t="s">
        <v>826</v>
      </c>
      <c r="D218" s="1388" t="s">
        <v>974</v>
      </c>
      <c r="E218" s="1389">
        <v>217</v>
      </c>
      <c r="F218" s="1390" t="s">
        <v>765</v>
      </c>
      <c r="G218" s="1394" t="s">
        <v>834</v>
      </c>
      <c r="H218" s="740" t="s">
        <v>827</v>
      </c>
      <c r="I218" s="714" t="s">
        <v>975</v>
      </c>
      <c r="J218" s="1395" t="s">
        <v>854</v>
      </c>
    </row>
    <row r="219" spans="1:10" x14ac:dyDescent="0.25">
      <c r="A219" s="1418">
        <v>7.8</v>
      </c>
      <c r="B219" s="1417" t="s">
        <v>825</v>
      </c>
      <c r="C219" s="1434" t="s">
        <v>826</v>
      </c>
      <c r="D219" s="1388" t="s">
        <v>974</v>
      </c>
      <c r="E219" s="1389">
        <v>218</v>
      </c>
      <c r="F219" s="1390" t="s">
        <v>767</v>
      </c>
      <c r="G219" s="1394" t="s">
        <v>927</v>
      </c>
      <c r="H219" s="740" t="s">
        <v>827</v>
      </c>
      <c r="I219" s="714" t="s">
        <v>975</v>
      </c>
      <c r="J219" s="1395" t="s">
        <v>854</v>
      </c>
    </row>
    <row r="220" spans="1:10" x14ac:dyDescent="0.25">
      <c r="A220" s="1424" t="s">
        <v>935</v>
      </c>
      <c r="B220" s="1417" t="s">
        <v>548</v>
      </c>
      <c r="C220" s="1434" t="s">
        <v>826</v>
      </c>
      <c r="D220" s="1388" t="s">
        <v>974</v>
      </c>
      <c r="E220" s="1389">
        <v>219</v>
      </c>
      <c r="F220" s="1402">
        <v>6.6</v>
      </c>
      <c r="G220" s="1401" t="s">
        <v>832</v>
      </c>
      <c r="H220" s="714" t="s">
        <v>827</v>
      </c>
      <c r="I220" s="714" t="s">
        <v>975</v>
      </c>
      <c r="J220" s="1423" t="s">
        <v>833</v>
      </c>
    </row>
    <row r="221" spans="1:10" x14ac:dyDescent="0.25">
      <c r="A221" s="1418" t="s">
        <v>936</v>
      </c>
      <c r="B221" s="1417" t="s">
        <v>825</v>
      </c>
      <c r="C221" s="1434" t="s">
        <v>826</v>
      </c>
      <c r="D221" s="1388" t="s">
        <v>974</v>
      </c>
      <c r="E221" s="1389">
        <v>220</v>
      </c>
      <c r="F221" s="1402">
        <v>7.1</v>
      </c>
      <c r="G221" s="1401" t="s">
        <v>825</v>
      </c>
      <c r="H221" s="714" t="s">
        <v>827</v>
      </c>
      <c r="I221" s="714" t="s">
        <v>975</v>
      </c>
      <c r="J221" s="1395" t="s">
        <v>828</v>
      </c>
    </row>
    <row r="222" spans="1:10" x14ac:dyDescent="0.25">
      <c r="A222" s="1418" t="s">
        <v>937</v>
      </c>
      <c r="B222" s="1417" t="s">
        <v>825</v>
      </c>
      <c r="C222" s="1434" t="s">
        <v>826</v>
      </c>
      <c r="D222" s="1388" t="s">
        <v>974</v>
      </c>
      <c r="E222" s="1389">
        <v>221</v>
      </c>
      <c r="F222" s="1390" t="s">
        <v>773</v>
      </c>
      <c r="G222" s="1394" t="s">
        <v>931</v>
      </c>
      <c r="H222" s="740" t="s">
        <v>827</v>
      </c>
      <c r="I222" s="714" t="s">
        <v>975</v>
      </c>
      <c r="J222" s="1395" t="s">
        <v>864</v>
      </c>
    </row>
    <row r="223" spans="1:10" x14ac:dyDescent="0.25">
      <c r="A223" s="1418" t="s">
        <v>787</v>
      </c>
      <c r="B223" s="1417" t="s">
        <v>825</v>
      </c>
      <c r="C223" s="1434" t="s">
        <v>826</v>
      </c>
      <c r="D223" s="1388" t="s">
        <v>974</v>
      </c>
      <c r="E223" s="1389">
        <v>222</v>
      </c>
      <c r="F223" s="1390" t="s">
        <v>775</v>
      </c>
      <c r="G223" s="1394" t="s">
        <v>933</v>
      </c>
      <c r="H223" s="740" t="s">
        <v>827</v>
      </c>
      <c r="I223" s="714" t="s">
        <v>975</v>
      </c>
      <c r="J223" s="1395" t="s">
        <v>934</v>
      </c>
    </row>
    <row r="224" spans="1:10" x14ac:dyDescent="0.25">
      <c r="A224" s="1418">
        <v>7.11</v>
      </c>
      <c r="B224" s="1417" t="s">
        <v>825</v>
      </c>
      <c r="C224" s="1434" t="s">
        <v>826</v>
      </c>
      <c r="D224" s="1388" t="s">
        <v>974</v>
      </c>
      <c r="E224" s="1389">
        <v>223</v>
      </c>
      <c r="F224" s="1390" t="s">
        <v>776</v>
      </c>
      <c r="G224" s="1401" t="s">
        <v>548</v>
      </c>
      <c r="H224" s="740" t="s">
        <v>827</v>
      </c>
      <c r="I224" s="714" t="s">
        <v>975</v>
      </c>
      <c r="J224" s="1395" t="s">
        <v>548</v>
      </c>
    </row>
    <row r="225" spans="1:10" x14ac:dyDescent="0.25">
      <c r="A225" s="1418">
        <v>7.12</v>
      </c>
      <c r="B225" s="1417" t="s">
        <v>825</v>
      </c>
      <c r="C225" s="1434" t="s">
        <v>826</v>
      </c>
      <c r="D225" s="1388" t="s">
        <v>974</v>
      </c>
      <c r="E225" s="1389">
        <v>224</v>
      </c>
      <c r="F225" s="1390" t="s">
        <v>778</v>
      </c>
      <c r="G225" s="1401" t="s">
        <v>841</v>
      </c>
      <c r="H225" s="740" t="s">
        <v>827</v>
      </c>
      <c r="I225" s="714" t="s">
        <v>975</v>
      </c>
      <c r="J225" s="1395" t="s">
        <v>856</v>
      </c>
    </row>
    <row r="226" spans="1:10" x14ac:dyDescent="0.25">
      <c r="A226" s="1418">
        <v>7.13</v>
      </c>
      <c r="B226" s="1417" t="s">
        <v>938</v>
      </c>
      <c r="C226" s="1434" t="s">
        <v>826</v>
      </c>
      <c r="D226" s="1388" t="s">
        <v>974</v>
      </c>
      <c r="E226" s="1389">
        <v>225</v>
      </c>
      <c r="F226" s="1390" t="s">
        <v>779</v>
      </c>
      <c r="G226" s="1401" t="s">
        <v>548</v>
      </c>
      <c r="H226" s="740" t="s">
        <v>827</v>
      </c>
      <c r="I226" s="714" t="s">
        <v>975</v>
      </c>
      <c r="J226" s="1395" t="s">
        <v>548</v>
      </c>
    </row>
    <row r="227" spans="1:10" x14ac:dyDescent="0.25">
      <c r="A227" s="1418">
        <v>7.14</v>
      </c>
      <c r="B227" s="1417" t="s">
        <v>825</v>
      </c>
      <c r="C227" s="1434" t="s">
        <v>826</v>
      </c>
      <c r="D227" s="1388" t="s">
        <v>974</v>
      </c>
      <c r="E227" s="1389">
        <v>226</v>
      </c>
      <c r="F227" s="1390" t="s">
        <v>781</v>
      </c>
      <c r="G227" s="1401" t="s">
        <v>841</v>
      </c>
      <c r="H227" s="740" t="s">
        <v>827</v>
      </c>
      <c r="I227" s="714" t="s">
        <v>975</v>
      </c>
      <c r="J227" s="1395" t="s">
        <v>856</v>
      </c>
    </row>
    <row r="228" spans="1:10" x14ac:dyDescent="0.25">
      <c r="A228" s="1418">
        <v>7.15</v>
      </c>
      <c r="B228" s="1417" t="s">
        <v>825</v>
      </c>
      <c r="C228" s="1434" t="s">
        <v>826</v>
      </c>
      <c r="D228" s="1388" t="s">
        <v>974</v>
      </c>
      <c r="E228" s="1389">
        <v>227</v>
      </c>
      <c r="F228" s="1402">
        <v>7.5</v>
      </c>
      <c r="G228" s="1401" t="s">
        <v>825</v>
      </c>
      <c r="H228" s="714" t="s">
        <v>827</v>
      </c>
      <c r="I228" s="714" t="s">
        <v>975</v>
      </c>
      <c r="J228" s="1395" t="s">
        <v>828</v>
      </c>
    </row>
    <row r="229" spans="1:10" x14ac:dyDescent="0.25">
      <c r="A229" s="1418">
        <v>7.16</v>
      </c>
      <c r="B229" s="1417" t="s">
        <v>825</v>
      </c>
      <c r="C229" s="1434" t="s">
        <v>826</v>
      </c>
      <c r="D229" s="1388" t="s">
        <v>974</v>
      </c>
      <c r="E229" s="1389">
        <v>228</v>
      </c>
      <c r="F229" s="1402">
        <v>7.6</v>
      </c>
      <c r="G229" s="1401" t="s">
        <v>825</v>
      </c>
      <c r="H229" s="714" t="s">
        <v>827</v>
      </c>
      <c r="I229" s="714" t="s">
        <v>975</v>
      </c>
      <c r="J229" s="1395" t="s">
        <v>828</v>
      </c>
    </row>
    <row r="230" spans="1:10" x14ac:dyDescent="0.25">
      <c r="A230" s="1421">
        <v>7.17</v>
      </c>
      <c r="B230" s="1422" t="s">
        <v>889</v>
      </c>
      <c r="C230" s="1434" t="s">
        <v>826</v>
      </c>
      <c r="D230" s="1388" t="s">
        <v>974</v>
      </c>
      <c r="E230" s="1389">
        <v>229</v>
      </c>
      <c r="F230" s="1402">
        <v>7.7</v>
      </c>
      <c r="G230" s="1401" t="s">
        <v>825</v>
      </c>
      <c r="H230" s="714" t="s">
        <v>827</v>
      </c>
      <c r="I230" s="714" t="s">
        <v>975</v>
      </c>
      <c r="J230" s="1395" t="s">
        <v>828</v>
      </c>
    </row>
    <row r="231" spans="1:10" x14ac:dyDescent="0.25">
      <c r="A231" s="1414" t="s">
        <v>941</v>
      </c>
      <c r="B231" s="1415" t="s">
        <v>825</v>
      </c>
      <c r="C231" s="1434" t="s">
        <v>826</v>
      </c>
      <c r="D231" s="1388" t="s">
        <v>974</v>
      </c>
      <c r="E231" s="1389">
        <v>230</v>
      </c>
      <c r="F231" s="1402">
        <v>7.8</v>
      </c>
      <c r="G231" s="1401" t="s">
        <v>825</v>
      </c>
      <c r="H231" s="714" t="s">
        <v>827</v>
      </c>
      <c r="I231" s="714" t="s">
        <v>975</v>
      </c>
      <c r="J231" s="1395" t="s">
        <v>828</v>
      </c>
    </row>
    <row r="232" spans="1:10" x14ac:dyDescent="0.25">
      <c r="A232" s="1418" t="s">
        <v>942</v>
      </c>
      <c r="B232" s="1417" t="s">
        <v>825</v>
      </c>
      <c r="C232" s="1434" t="s">
        <v>826</v>
      </c>
      <c r="D232" s="1388" t="s">
        <v>974</v>
      </c>
      <c r="E232" s="1389">
        <v>231</v>
      </c>
      <c r="F232" s="1402">
        <v>7.9</v>
      </c>
      <c r="G232" s="1401" t="s">
        <v>825</v>
      </c>
      <c r="H232" s="714" t="s">
        <v>827</v>
      </c>
      <c r="I232" s="714" t="s">
        <v>975</v>
      </c>
      <c r="J232" s="1395" t="s">
        <v>828</v>
      </c>
    </row>
    <row r="233" spans="1:10" x14ac:dyDescent="0.25">
      <c r="A233" s="1418" t="s">
        <v>943</v>
      </c>
      <c r="B233" s="1417" t="s">
        <v>825</v>
      </c>
      <c r="C233" s="1434" t="s">
        <v>826</v>
      </c>
      <c r="D233" s="1388" t="s">
        <v>974</v>
      </c>
      <c r="E233" s="1389">
        <v>232</v>
      </c>
      <c r="F233" s="1406" t="s">
        <v>787</v>
      </c>
      <c r="G233" s="1401" t="s">
        <v>971</v>
      </c>
      <c r="H233" s="714" t="s">
        <v>827</v>
      </c>
      <c r="I233" s="714" t="s">
        <v>975</v>
      </c>
      <c r="J233" s="1395" t="s">
        <v>864</v>
      </c>
    </row>
    <row r="234" spans="1:10" x14ac:dyDescent="0.25">
      <c r="A234" s="1418" t="s">
        <v>944</v>
      </c>
      <c r="B234" s="1417" t="s">
        <v>889</v>
      </c>
      <c r="C234" s="1434" t="s">
        <v>826</v>
      </c>
      <c r="D234" s="1388" t="s">
        <v>974</v>
      </c>
      <c r="E234" s="1389">
        <v>233</v>
      </c>
      <c r="F234" s="1402">
        <v>7.11</v>
      </c>
      <c r="G234" s="1401" t="s">
        <v>825</v>
      </c>
      <c r="H234" s="714" t="s">
        <v>827</v>
      </c>
      <c r="I234" s="714" t="s">
        <v>975</v>
      </c>
      <c r="J234" s="1395" t="s">
        <v>828</v>
      </c>
    </row>
    <row r="235" spans="1:10" s="1095" customFormat="1" x14ac:dyDescent="0.25">
      <c r="A235" s="1425" t="s">
        <v>945</v>
      </c>
      <c r="B235" s="1426" t="s">
        <v>834</v>
      </c>
      <c r="C235" s="1449" t="s">
        <v>826</v>
      </c>
      <c r="D235" s="1407" t="s">
        <v>974</v>
      </c>
      <c r="E235" s="1389">
        <v>234</v>
      </c>
      <c r="F235" s="1412">
        <v>7.12</v>
      </c>
      <c r="G235" s="1450" t="s">
        <v>825</v>
      </c>
      <c r="H235" s="714" t="s">
        <v>827</v>
      </c>
      <c r="I235" s="714" t="s">
        <v>975</v>
      </c>
      <c r="J235" s="1427" t="s">
        <v>828</v>
      </c>
    </row>
    <row r="236" spans="1:10" x14ac:dyDescent="0.25">
      <c r="A236" s="1430">
        <v>1.1000000000000001</v>
      </c>
      <c r="B236" s="1431" t="s">
        <v>825</v>
      </c>
      <c r="C236" s="1451" t="s">
        <v>827</v>
      </c>
      <c r="D236" s="1388" t="s">
        <v>28</v>
      </c>
      <c r="E236" s="1389">
        <v>235</v>
      </c>
      <c r="F236" s="1390" t="s">
        <v>791</v>
      </c>
      <c r="G236" s="1448" t="s">
        <v>548</v>
      </c>
      <c r="H236" s="740" t="s">
        <v>827</v>
      </c>
      <c r="I236" s="714" t="s">
        <v>975</v>
      </c>
      <c r="J236" s="1433" t="s">
        <v>548</v>
      </c>
    </row>
    <row r="237" spans="1:10" x14ac:dyDescent="0.25">
      <c r="A237" s="1396">
        <v>1.2</v>
      </c>
      <c r="B237" s="1397" t="s">
        <v>829</v>
      </c>
      <c r="C237" s="1451" t="s">
        <v>827</v>
      </c>
      <c r="D237" s="1388" t="s">
        <v>28</v>
      </c>
      <c r="E237" s="1389">
        <v>236</v>
      </c>
      <c r="F237" s="1390" t="s">
        <v>793</v>
      </c>
      <c r="G237" s="1401" t="s">
        <v>972</v>
      </c>
      <c r="H237" s="740" t="s">
        <v>827</v>
      </c>
      <c r="I237" s="714" t="s">
        <v>975</v>
      </c>
      <c r="J237" s="1395" t="s">
        <v>548</v>
      </c>
    </row>
    <row r="238" spans="1:10" x14ac:dyDescent="0.25">
      <c r="A238" s="1398">
        <v>2.1</v>
      </c>
      <c r="B238" s="1393" t="s">
        <v>825</v>
      </c>
      <c r="C238" s="1451" t="s">
        <v>827</v>
      </c>
      <c r="D238" s="1388" t="s">
        <v>28</v>
      </c>
      <c r="E238" s="1389">
        <v>237</v>
      </c>
      <c r="F238" s="1402">
        <v>7.14</v>
      </c>
      <c r="G238" s="1401" t="s">
        <v>825</v>
      </c>
      <c r="H238" s="714" t="s">
        <v>827</v>
      </c>
      <c r="I238" s="714" t="s">
        <v>975</v>
      </c>
      <c r="J238" s="1395" t="s">
        <v>828</v>
      </c>
    </row>
    <row r="239" spans="1:10" x14ac:dyDescent="0.25">
      <c r="A239" s="1399">
        <v>2.2000000000000002</v>
      </c>
      <c r="B239" s="1400" t="s">
        <v>825</v>
      </c>
      <c r="C239" s="1451" t="s">
        <v>827</v>
      </c>
      <c r="D239" s="1388" t="s">
        <v>28</v>
      </c>
      <c r="E239" s="1389">
        <v>238</v>
      </c>
      <c r="F239" s="1402">
        <v>7.15</v>
      </c>
      <c r="G239" s="1401" t="s">
        <v>825</v>
      </c>
      <c r="H239" s="714" t="s">
        <v>827</v>
      </c>
      <c r="I239" s="714" t="s">
        <v>975</v>
      </c>
      <c r="J239" s="1395" t="s">
        <v>828</v>
      </c>
    </row>
    <row r="240" spans="1:10" x14ac:dyDescent="0.25">
      <c r="A240" s="1399">
        <v>2.2999999999999998</v>
      </c>
      <c r="B240" s="1400" t="s">
        <v>825</v>
      </c>
      <c r="C240" s="1451" t="s">
        <v>827</v>
      </c>
      <c r="D240" s="1388" t="s">
        <v>28</v>
      </c>
      <c r="E240" s="1389">
        <v>239</v>
      </c>
      <c r="F240" s="1402">
        <v>7.16</v>
      </c>
      <c r="G240" s="1401" t="s">
        <v>825</v>
      </c>
      <c r="H240" s="714" t="s">
        <v>827</v>
      </c>
      <c r="I240" s="714" t="s">
        <v>975</v>
      </c>
      <c r="J240" s="1395" t="s">
        <v>828</v>
      </c>
    </row>
    <row r="241" spans="1:10" x14ac:dyDescent="0.25">
      <c r="A241" s="1399">
        <v>2.4</v>
      </c>
      <c r="B241" s="1400" t="s">
        <v>837</v>
      </c>
      <c r="C241" s="1451" t="s">
        <v>827</v>
      </c>
      <c r="D241" s="1388" t="s">
        <v>28</v>
      </c>
      <c r="E241" s="1389">
        <v>240</v>
      </c>
      <c r="F241" s="1402">
        <v>7.17</v>
      </c>
      <c r="G241" s="1401" t="s">
        <v>825</v>
      </c>
      <c r="H241" s="714" t="s">
        <v>827</v>
      </c>
      <c r="I241" s="714" t="s">
        <v>975</v>
      </c>
      <c r="J241" s="1395" t="s">
        <v>828</v>
      </c>
    </row>
    <row r="242" spans="1:10" x14ac:dyDescent="0.25">
      <c r="A242" s="1399">
        <v>2.5</v>
      </c>
      <c r="B242" s="1400" t="s">
        <v>840</v>
      </c>
      <c r="C242" s="1451" t="s">
        <v>827</v>
      </c>
      <c r="D242" s="1388" t="s">
        <v>28</v>
      </c>
      <c r="E242" s="1389">
        <v>241</v>
      </c>
      <c r="F242" s="1390" t="s">
        <v>800</v>
      </c>
      <c r="G242" s="1401" t="s">
        <v>825</v>
      </c>
      <c r="H242" s="740" t="s">
        <v>827</v>
      </c>
      <c r="I242" s="714" t="s">
        <v>975</v>
      </c>
      <c r="J242" s="1395" t="s">
        <v>828</v>
      </c>
    </row>
    <row r="243" spans="1:10" x14ac:dyDescent="0.25">
      <c r="A243" s="1399">
        <v>2.6</v>
      </c>
      <c r="B243" s="1400" t="s">
        <v>841</v>
      </c>
      <c r="C243" s="1451" t="s">
        <v>827</v>
      </c>
      <c r="D243" s="1388" t="s">
        <v>28</v>
      </c>
      <c r="E243" s="1389">
        <v>242</v>
      </c>
      <c r="F243" s="1390" t="s">
        <v>802</v>
      </c>
      <c r="G243" s="1394" t="s">
        <v>889</v>
      </c>
      <c r="H243" s="740" t="s">
        <v>827</v>
      </c>
      <c r="I243" s="714" t="s">
        <v>975</v>
      </c>
      <c r="J243" s="1395" t="s">
        <v>890</v>
      </c>
    </row>
    <row r="244" spans="1:10" x14ac:dyDescent="0.25">
      <c r="A244" s="1403" t="s">
        <v>842</v>
      </c>
      <c r="B244" s="1400" t="s">
        <v>825</v>
      </c>
      <c r="C244" s="1451" t="s">
        <v>827</v>
      </c>
      <c r="D244" s="1388" t="s">
        <v>28</v>
      </c>
      <c r="E244" s="1389">
        <v>243</v>
      </c>
      <c r="F244" s="1402">
        <v>8.1999999999999993</v>
      </c>
      <c r="G244" s="1401" t="s">
        <v>947</v>
      </c>
      <c r="H244" s="714" t="s">
        <v>827</v>
      </c>
      <c r="I244" s="714" t="s">
        <v>975</v>
      </c>
      <c r="J244" s="1395" t="s">
        <v>948</v>
      </c>
    </row>
    <row r="245" spans="1:10" x14ac:dyDescent="0.25">
      <c r="A245" s="1399" t="s">
        <v>843</v>
      </c>
      <c r="B245" s="1400" t="s">
        <v>978</v>
      </c>
      <c r="C245" s="1451" t="s">
        <v>827</v>
      </c>
      <c r="D245" s="1388" t="s">
        <v>28</v>
      </c>
      <c r="E245" s="1389">
        <v>244</v>
      </c>
      <c r="F245" s="1402">
        <v>8.3000000000000007</v>
      </c>
      <c r="G245" s="1401" t="s">
        <v>825</v>
      </c>
      <c r="H245" s="714" t="s">
        <v>827</v>
      </c>
      <c r="I245" s="714" t="s">
        <v>975</v>
      </c>
      <c r="J245" s="1395" t="s">
        <v>828</v>
      </c>
    </row>
    <row r="246" spans="1:10" x14ac:dyDescent="0.25">
      <c r="A246" s="1399">
        <v>2.8</v>
      </c>
      <c r="B246" s="1400" t="s">
        <v>846</v>
      </c>
      <c r="C246" s="1451" t="s">
        <v>827</v>
      </c>
      <c r="D246" s="1388" t="s">
        <v>28</v>
      </c>
      <c r="E246" s="1389">
        <v>245</v>
      </c>
      <c r="F246" s="1402">
        <v>8.4</v>
      </c>
      <c r="G246" s="1401" t="s">
        <v>949</v>
      </c>
      <c r="H246" s="714" t="s">
        <v>827</v>
      </c>
      <c r="I246" s="714" t="s">
        <v>975</v>
      </c>
      <c r="J246" s="1395" t="s">
        <v>950</v>
      </c>
    </row>
    <row r="247" spans="1:10" ht="15.75" thickBot="1" x14ac:dyDescent="0.3">
      <c r="A247" s="1399">
        <v>2.9</v>
      </c>
      <c r="B247" s="1400" t="s">
        <v>849</v>
      </c>
      <c r="C247" s="1451" t="s">
        <v>827</v>
      </c>
      <c r="D247" s="1388" t="s">
        <v>28</v>
      </c>
      <c r="E247" s="1389">
        <v>246</v>
      </c>
      <c r="F247" s="1435">
        <v>8.5</v>
      </c>
      <c r="G247" s="1446" t="s">
        <v>825</v>
      </c>
      <c r="H247" s="1447" t="s">
        <v>827</v>
      </c>
      <c r="I247" s="714" t="s">
        <v>975</v>
      </c>
      <c r="J247" s="1438" t="s">
        <v>828</v>
      </c>
    </row>
    <row r="248" spans="1:10" ht="15.75" thickTop="1" x14ac:dyDescent="0.25">
      <c r="A248" s="1404" t="s">
        <v>708</v>
      </c>
      <c r="B248" s="1397" t="s">
        <v>841</v>
      </c>
      <c r="C248" s="1451" t="s">
        <v>827</v>
      </c>
      <c r="D248" s="1388" t="s">
        <v>28</v>
      </c>
      <c r="E248" s="1389">
        <v>247</v>
      </c>
      <c r="F248" s="1390" t="s">
        <v>684</v>
      </c>
      <c r="G248" s="1401" t="s">
        <v>825</v>
      </c>
      <c r="H248" s="372" t="s">
        <v>826</v>
      </c>
      <c r="I248" s="714" t="s">
        <v>28</v>
      </c>
      <c r="J248" s="1395" t="s">
        <v>828</v>
      </c>
    </row>
    <row r="249" spans="1:10" x14ac:dyDescent="0.25">
      <c r="A249" s="1398" t="s">
        <v>850</v>
      </c>
      <c r="B249" s="1393" t="s">
        <v>825</v>
      </c>
      <c r="C249" s="1451" t="s">
        <v>827</v>
      </c>
      <c r="D249" s="1388" t="s">
        <v>28</v>
      </c>
      <c r="E249" s="1389">
        <v>248</v>
      </c>
      <c r="F249" s="1390" t="s">
        <v>686</v>
      </c>
      <c r="G249" s="1394" t="s">
        <v>830</v>
      </c>
      <c r="H249" s="372" t="s">
        <v>826</v>
      </c>
      <c r="I249" s="714" t="s">
        <v>28</v>
      </c>
      <c r="J249" s="1395" t="s">
        <v>831</v>
      </c>
    </row>
    <row r="250" spans="1:10" x14ac:dyDescent="0.25">
      <c r="A250" s="1399" t="s">
        <v>853</v>
      </c>
      <c r="B250" s="1400" t="s">
        <v>825</v>
      </c>
      <c r="C250" s="1451" t="s">
        <v>827</v>
      </c>
      <c r="D250" s="1388" t="s">
        <v>28</v>
      </c>
      <c r="E250" s="1389">
        <v>249</v>
      </c>
      <c r="F250" s="1402">
        <v>1.2</v>
      </c>
      <c r="G250" s="1401" t="s">
        <v>952</v>
      </c>
      <c r="H250" s="372" t="s">
        <v>826</v>
      </c>
      <c r="I250" s="714" t="s">
        <v>28</v>
      </c>
      <c r="J250" s="1395" t="s">
        <v>833</v>
      </c>
    </row>
    <row r="251" spans="1:10" x14ac:dyDescent="0.25">
      <c r="A251" s="1399" t="s">
        <v>714</v>
      </c>
      <c r="B251" s="1405" t="s">
        <v>855</v>
      </c>
      <c r="C251" s="1451" t="s">
        <v>827</v>
      </c>
      <c r="D251" s="1388" t="s">
        <v>28</v>
      </c>
      <c r="E251" s="1389">
        <v>250</v>
      </c>
      <c r="F251" s="1390" t="s">
        <v>689</v>
      </c>
      <c r="G251" s="1401" t="s">
        <v>825</v>
      </c>
      <c r="H251" s="372" t="s">
        <v>826</v>
      </c>
      <c r="I251" s="714" t="s">
        <v>28</v>
      </c>
      <c r="J251" s="1395" t="s">
        <v>828</v>
      </c>
    </row>
    <row r="252" spans="1:10" x14ac:dyDescent="0.25">
      <c r="A252" s="1399" t="s">
        <v>715</v>
      </c>
      <c r="B252" s="1400" t="s">
        <v>837</v>
      </c>
      <c r="C252" s="1451" t="s">
        <v>827</v>
      </c>
      <c r="D252" s="1388" t="s">
        <v>28</v>
      </c>
      <c r="E252" s="1389">
        <v>251</v>
      </c>
      <c r="F252" s="1390" t="s">
        <v>691</v>
      </c>
      <c r="G252" s="1401" t="s">
        <v>835</v>
      </c>
      <c r="H252" s="372" t="s">
        <v>826</v>
      </c>
      <c r="I252" s="714" t="s">
        <v>28</v>
      </c>
      <c r="J252" s="1395" t="s">
        <v>836</v>
      </c>
    </row>
    <row r="253" spans="1:10" x14ac:dyDescent="0.25">
      <c r="A253" s="1399" t="s">
        <v>716</v>
      </c>
      <c r="B253" s="1400" t="s">
        <v>857</v>
      </c>
      <c r="C253" s="1451" t="s">
        <v>827</v>
      </c>
      <c r="D253" s="1388" t="s">
        <v>28</v>
      </c>
      <c r="E253" s="1389">
        <v>252</v>
      </c>
      <c r="F253" s="1402">
        <v>1.4</v>
      </c>
      <c r="G253" s="1401" t="s">
        <v>838</v>
      </c>
      <c r="H253" s="372" t="s">
        <v>826</v>
      </c>
      <c r="I253" s="714" t="s">
        <v>28</v>
      </c>
      <c r="J253" s="1395" t="s">
        <v>839</v>
      </c>
    </row>
    <row r="254" spans="1:10" x14ac:dyDescent="0.25">
      <c r="A254" s="1399" t="s">
        <v>858</v>
      </c>
      <c r="B254" s="1405" t="s">
        <v>859</v>
      </c>
      <c r="C254" s="1451" t="s">
        <v>827</v>
      </c>
      <c r="D254" s="1388" t="s">
        <v>28</v>
      </c>
      <c r="E254" s="1389">
        <v>253</v>
      </c>
      <c r="F254" s="1402">
        <v>2.1</v>
      </c>
      <c r="G254" s="1401" t="s">
        <v>825</v>
      </c>
      <c r="H254" s="372" t="s">
        <v>826</v>
      </c>
      <c r="I254" s="714" t="s">
        <v>28</v>
      </c>
      <c r="J254" s="1395" t="s">
        <v>828</v>
      </c>
    </row>
    <row r="255" spans="1:10" x14ac:dyDescent="0.25">
      <c r="A255" s="1399" t="s">
        <v>860</v>
      </c>
      <c r="B255" s="1400" t="s">
        <v>861</v>
      </c>
      <c r="C255" s="1451" t="s">
        <v>827</v>
      </c>
      <c r="D255" s="1388" t="s">
        <v>28</v>
      </c>
      <c r="E255" s="1389">
        <v>254</v>
      </c>
      <c r="F255" s="1402">
        <v>2.2000000000000002</v>
      </c>
      <c r="G255" s="1401" t="s">
        <v>834</v>
      </c>
      <c r="H255" s="372" t="s">
        <v>826</v>
      </c>
      <c r="I255" s="714" t="s">
        <v>28</v>
      </c>
      <c r="J255" s="1395">
        <v>2</v>
      </c>
    </row>
    <row r="256" spans="1:10" x14ac:dyDescent="0.25">
      <c r="A256" s="1399" t="s">
        <v>865</v>
      </c>
      <c r="B256" s="1397" t="s">
        <v>825</v>
      </c>
      <c r="C256" s="1451" t="s">
        <v>827</v>
      </c>
      <c r="D256" s="1388" t="s">
        <v>28</v>
      </c>
      <c r="E256" s="1389">
        <v>255</v>
      </c>
      <c r="F256" s="1402">
        <v>2.2999999999999998</v>
      </c>
      <c r="G256" s="1401" t="s">
        <v>825</v>
      </c>
      <c r="H256" s="372" t="s">
        <v>826</v>
      </c>
      <c r="I256" s="714" t="s">
        <v>28</v>
      </c>
      <c r="J256" s="1395" t="s">
        <v>828</v>
      </c>
    </row>
    <row r="257" spans="1:10" x14ac:dyDescent="0.25">
      <c r="A257" s="1408" t="s">
        <v>867</v>
      </c>
      <c r="B257" s="1409" t="s">
        <v>825</v>
      </c>
      <c r="C257" s="1451" t="s">
        <v>827</v>
      </c>
      <c r="D257" s="1388" t="s">
        <v>28</v>
      </c>
      <c r="E257" s="1389">
        <v>256</v>
      </c>
      <c r="F257" s="1402">
        <v>2.4</v>
      </c>
      <c r="G257" s="1394" t="s">
        <v>837</v>
      </c>
      <c r="H257" s="372" t="s">
        <v>826</v>
      </c>
      <c r="I257" s="714" t="s">
        <v>28</v>
      </c>
      <c r="J257" s="1395" t="s">
        <v>845</v>
      </c>
    </row>
    <row r="258" spans="1:10" x14ac:dyDescent="0.25">
      <c r="A258" s="1410" t="s">
        <v>871</v>
      </c>
      <c r="B258" s="1411" t="s">
        <v>861</v>
      </c>
      <c r="C258" s="1451" t="s">
        <v>827</v>
      </c>
      <c r="D258" s="1388" t="s">
        <v>28</v>
      </c>
      <c r="E258" s="1389">
        <v>257</v>
      </c>
      <c r="F258" s="1402">
        <v>2.5</v>
      </c>
      <c r="G258" s="1394" t="s">
        <v>847</v>
      </c>
      <c r="H258" s="372" t="s">
        <v>826</v>
      </c>
      <c r="I258" s="714" t="s">
        <v>28</v>
      </c>
      <c r="J258" s="1395" t="s">
        <v>848</v>
      </c>
    </row>
    <row r="259" spans="1:10" x14ac:dyDescent="0.25">
      <c r="A259" s="1410" t="s">
        <v>873</v>
      </c>
      <c r="B259" s="1413" t="s">
        <v>874</v>
      </c>
      <c r="C259" s="1451" t="s">
        <v>827</v>
      </c>
      <c r="D259" s="1388" t="s">
        <v>28</v>
      </c>
      <c r="E259" s="1389">
        <v>258</v>
      </c>
      <c r="F259" s="1402">
        <v>2.6</v>
      </c>
      <c r="G259" s="1401" t="s">
        <v>825</v>
      </c>
      <c r="H259" s="372" t="s">
        <v>826</v>
      </c>
      <c r="I259" s="714" t="s">
        <v>28</v>
      </c>
      <c r="J259" s="1395" t="s">
        <v>828</v>
      </c>
    </row>
    <row r="260" spans="1:10" x14ac:dyDescent="0.25">
      <c r="A260" s="1414" t="s">
        <v>877</v>
      </c>
      <c r="B260" s="1415" t="s">
        <v>825</v>
      </c>
      <c r="C260" s="1451" t="s">
        <v>827</v>
      </c>
      <c r="D260" s="1388" t="s">
        <v>28</v>
      </c>
      <c r="E260" s="1389">
        <v>259</v>
      </c>
      <c r="F260" s="1390" t="s">
        <v>702</v>
      </c>
      <c r="G260" s="1401" t="s">
        <v>548</v>
      </c>
      <c r="H260" s="372" t="s">
        <v>826</v>
      </c>
      <c r="I260" s="714" t="s">
        <v>28</v>
      </c>
      <c r="J260" s="1395" t="s">
        <v>548</v>
      </c>
    </row>
    <row r="261" spans="1:10" x14ac:dyDescent="0.25">
      <c r="A261" s="1416" t="s">
        <v>878</v>
      </c>
      <c r="B261" s="1417" t="s">
        <v>548</v>
      </c>
      <c r="C261" s="1451" t="s">
        <v>827</v>
      </c>
      <c r="D261" s="1388" t="s">
        <v>28</v>
      </c>
      <c r="E261" s="1389">
        <v>260</v>
      </c>
      <c r="F261" s="1390" t="s">
        <v>704</v>
      </c>
      <c r="G261" s="1401" t="s">
        <v>979</v>
      </c>
      <c r="H261" s="1095" t="s">
        <v>826</v>
      </c>
      <c r="I261" s="714" t="s">
        <v>28</v>
      </c>
      <c r="J261" s="1395" t="s">
        <v>980</v>
      </c>
    </row>
    <row r="262" spans="1:10" x14ac:dyDescent="0.25">
      <c r="A262" s="1418" t="s">
        <v>879</v>
      </c>
      <c r="B262" s="1417" t="s">
        <v>880</v>
      </c>
      <c r="C262" s="1451" t="s">
        <v>827</v>
      </c>
      <c r="D262" s="1388" t="s">
        <v>28</v>
      </c>
      <c r="E262" s="1389">
        <v>261</v>
      </c>
      <c r="F262" s="1402">
        <v>2.8</v>
      </c>
      <c r="G262" s="1401" t="s">
        <v>954</v>
      </c>
      <c r="H262" s="372" t="s">
        <v>826</v>
      </c>
      <c r="I262" s="714" t="s">
        <v>28</v>
      </c>
      <c r="J262" s="1395" t="s">
        <v>955</v>
      </c>
    </row>
    <row r="263" spans="1:10" x14ac:dyDescent="0.25">
      <c r="A263" s="1416" t="s">
        <v>883</v>
      </c>
      <c r="B263" s="1417" t="s">
        <v>548</v>
      </c>
      <c r="C263" s="1451" t="s">
        <v>827</v>
      </c>
      <c r="D263" s="1388" t="s">
        <v>28</v>
      </c>
      <c r="E263" s="1389">
        <v>262</v>
      </c>
      <c r="F263" s="1402">
        <v>2.9</v>
      </c>
      <c r="G263" s="1401" t="s">
        <v>837</v>
      </c>
      <c r="H263" s="372" t="s">
        <v>826</v>
      </c>
      <c r="I263" s="714" t="s">
        <v>28</v>
      </c>
      <c r="J263" s="1395" t="s">
        <v>845</v>
      </c>
    </row>
    <row r="264" spans="1:10" x14ac:dyDescent="0.25">
      <c r="A264" s="1418" t="s">
        <v>884</v>
      </c>
      <c r="B264" s="1417" t="s">
        <v>825</v>
      </c>
      <c r="C264" s="1451" t="s">
        <v>827</v>
      </c>
      <c r="D264" s="1388" t="s">
        <v>28</v>
      </c>
      <c r="E264" s="1389">
        <v>263</v>
      </c>
      <c r="F264" s="1406" t="s">
        <v>708</v>
      </c>
      <c r="G264" s="1401" t="s">
        <v>841</v>
      </c>
      <c r="H264" s="372" t="s">
        <v>826</v>
      </c>
      <c r="I264" s="714" t="s">
        <v>28</v>
      </c>
      <c r="J264" s="1395" t="s">
        <v>856</v>
      </c>
    </row>
    <row r="265" spans="1:10" x14ac:dyDescent="0.25">
      <c r="A265" s="1418" t="s">
        <v>887</v>
      </c>
      <c r="B265" s="1419" t="s">
        <v>888</v>
      </c>
      <c r="C265" s="1451" t="s">
        <v>827</v>
      </c>
      <c r="D265" s="1388" t="s">
        <v>28</v>
      </c>
      <c r="E265" s="1389">
        <v>264</v>
      </c>
      <c r="F265" s="1402">
        <v>3.1</v>
      </c>
      <c r="G265" s="1401" t="s">
        <v>825</v>
      </c>
      <c r="H265" s="372" t="s">
        <v>826</v>
      </c>
      <c r="I265" s="714" t="s">
        <v>28</v>
      </c>
      <c r="J265" s="1395" t="s">
        <v>828</v>
      </c>
    </row>
    <row r="266" spans="1:10" x14ac:dyDescent="0.25">
      <c r="A266" s="1418" t="s">
        <v>891</v>
      </c>
      <c r="B266" s="1417" t="s">
        <v>841</v>
      </c>
      <c r="C266" s="1451" t="s">
        <v>827</v>
      </c>
      <c r="D266" s="1388" t="s">
        <v>28</v>
      </c>
      <c r="E266" s="1389">
        <v>265</v>
      </c>
      <c r="F266" s="1402">
        <v>3.2</v>
      </c>
      <c r="G266" s="1401" t="s">
        <v>825</v>
      </c>
      <c r="H266" s="372" t="s">
        <v>826</v>
      </c>
      <c r="I266" s="714" t="s">
        <v>28</v>
      </c>
      <c r="J266" s="1395" t="s">
        <v>828</v>
      </c>
    </row>
    <row r="267" spans="1:10" x14ac:dyDescent="0.25">
      <c r="A267" s="1418" t="s">
        <v>892</v>
      </c>
      <c r="B267" s="1417" t="s">
        <v>825</v>
      </c>
      <c r="C267" s="1451" t="s">
        <v>827</v>
      </c>
      <c r="D267" s="1388" t="s">
        <v>28</v>
      </c>
      <c r="E267" s="1389">
        <v>266</v>
      </c>
      <c r="F267" s="1390" t="s">
        <v>862</v>
      </c>
      <c r="G267" s="1394" t="s">
        <v>863</v>
      </c>
      <c r="H267" s="1095" t="s">
        <v>826</v>
      </c>
      <c r="I267" s="714" t="s">
        <v>28</v>
      </c>
      <c r="J267" s="1395" t="s">
        <v>864</v>
      </c>
    </row>
    <row r="268" spans="1:10" x14ac:dyDescent="0.25">
      <c r="A268" s="1418" t="s">
        <v>893</v>
      </c>
      <c r="B268" s="1417" t="s">
        <v>825</v>
      </c>
      <c r="C268" s="1451" t="s">
        <v>827</v>
      </c>
      <c r="D268" s="1388" t="s">
        <v>28</v>
      </c>
      <c r="E268" s="1389">
        <v>267</v>
      </c>
      <c r="F268" s="1390" t="s">
        <v>866</v>
      </c>
      <c r="G268" s="1394" t="s">
        <v>837</v>
      </c>
      <c r="H268" s="1095" t="s">
        <v>826</v>
      </c>
      <c r="I268" s="714" t="s">
        <v>28</v>
      </c>
      <c r="J268" s="1395" t="s">
        <v>845</v>
      </c>
    </row>
    <row r="269" spans="1:10" x14ac:dyDescent="0.25">
      <c r="A269" s="1416" t="s">
        <v>896</v>
      </c>
      <c r="B269" s="1417" t="s">
        <v>548</v>
      </c>
      <c r="C269" s="1451" t="s">
        <v>827</v>
      </c>
      <c r="D269" s="1388" t="s">
        <v>28</v>
      </c>
      <c r="E269" s="1389">
        <v>268</v>
      </c>
      <c r="F269" s="1390" t="s">
        <v>868</v>
      </c>
      <c r="G269" s="1401" t="s">
        <v>869</v>
      </c>
      <c r="H269" s="1095" t="s">
        <v>826</v>
      </c>
      <c r="I269" s="714" t="s">
        <v>28</v>
      </c>
      <c r="J269" s="1395" t="s">
        <v>870</v>
      </c>
    </row>
    <row r="270" spans="1:10" x14ac:dyDescent="0.25">
      <c r="A270" s="1418" t="s">
        <v>897</v>
      </c>
      <c r="B270" s="1417" t="s">
        <v>898</v>
      </c>
      <c r="C270" s="1451" t="s">
        <v>827</v>
      </c>
      <c r="D270" s="1388" t="s">
        <v>28</v>
      </c>
      <c r="E270" s="1389">
        <v>269</v>
      </c>
      <c r="F270" s="1402">
        <v>3.4</v>
      </c>
      <c r="G270" s="1401" t="s">
        <v>872</v>
      </c>
      <c r="H270" s="372" t="s">
        <v>826</v>
      </c>
      <c r="I270" s="714" t="s">
        <v>28</v>
      </c>
      <c r="J270" s="1395" t="s">
        <v>864</v>
      </c>
    </row>
    <row r="271" spans="1:10" x14ac:dyDescent="0.25">
      <c r="A271" s="1418" t="s">
        <v>901</v>
      </c>
      <c r="B271" s="1417" t="s">
        <v>902</v>
      </c>
      <c r="C271" s="1451" t="s">
        <v>827</v>
      </c>
      <c r="D271" s="1388" t="s">
        <v>28</v>
      </c>
      <c r="E271" s="1389">
        <v>270</v>
      </c>
      <c r="F271" s="1402">
        <v>3.5</v>
      </c>
      <c r="G271" s="1394" t="s">
        <v>875</v>
      </c>
      <c r="H271" s="372" t="s">
        <v>826</v>
      </c>
      <c r="I271" s="714" t="s">
        <v>28</v>
      </c>
      <c r="J271" s="1395" t="s">
        <v>876</v>
      </c>
    </row>
    <row r="272" spans="1:10" x14ac:dyDescent="0.25">
      <c r="A272" s="1418" t="s">
        <v>904</v>
      </c>
      <c r="B272" s="1417" t="s">
        <v>905</v>
      </c>
      <c r="C272" s="1451" t="s">
        <v>827</v>
      </c>
      <c r="D272" s="1388" t="s">
        <v>28</v>
      </c>
      <c r="E272" s="1389">
        <v>271</v>
      </c>
      <c r="F272" s="1402">
        <v>3.6</v>
      </c>
      <c r="G272" s="1401" t="s">
        <v>825</v>
      </c>
      <c r="H272" s="372" t="s">
        <v>826</v>
      </c>
      <c r="I272" s="714" t="s">
        <v>28</v>
      </c>
      <c r="J272" s="1395" t="s">
        <v>828</v>
      </c>
    </row>
    <row r="273" spans="1:10" x14ac:dyDescent="0.25">
      <c r="A273" s="1418" t="s">
        <v>906</v>
      </c>
      <c r="B273" s="1417" t="s">
        <v>825</v>
      </c>
      <c r="C273" s="1451" t="s">
        <v>827</v>
      </c>
      <c r="D273" s="1388" t="s">
        <v>28</v>
      </c>
      <c r="E273" s="1389">
        <v>272</v>
      </c>
      <c r="F273" s="1390" t="s">
        <v>723</v>
      </c>
      <c r="G273" s="1401" t="s">
        <v>825</v>
      </c>
      <c r="H273" s="1095" t="s">
        <v>826</v>
      </c>
      <c r="I273" s="714" t="s">
        <v>28</v>
      </c>
      <c r="J273" s="1395" t="s">
        <v>828</v>
      </c>
    </row>
    <row r="274" spans="1:10" x14ac:dyDescent="0.25">
      <c r="A274" s="1418" t="s">
        <v>755</v>
      </c>
      <c r="B274" s="1417" t="s">
        <v>907</v>
      </c>
      <c r="C274" s="1451" t="s">
        <v>827</v>
      </c>
      <c r="D274" s="1388" t="s">
        <v>28</v>
      </c>
      <c r="E274" s="1389">
        <v>273</v>
      </c>
      <c r="F274" s="1390" t="s">
        <v>725</v>
      </c>
      <c r="G274" s="1401" t="s">
        <v>881</v>
      </c>
      <c r="H274" s="1095" t="s">
        <v>826</v>
      </c>
      <c r="I274" s="714" t="s">
        <v>28</v>
      </c>
      <c r="J274" s="1395" t="s">
        <v>882</v>
      </c>
    </row>
    <row r="275" spans="1:10" x14ac:dyDescent="0.25">
      <c r="A275" s="1418">
        <v>5.1100000000000003</v>
      </c>
      <c r="B275" s="1417" t="s">
        <v>548</v>
      </c>
      <c r="C275" s="1451" t="s">
        <v>827</v>
      </c>
      <c r="D275" s="1388" t="s">
        <v>28</v>
      </c>
      <c r="E275" s="1389">
        <v>274</v>
      </c>
      <c r="F275" s="1402">
        <v>4.2</v>
      </c>
      <c r="G275" s="1401" t="s">
        <v>834</v>
      </c>
      <c r="H275" s="372" t="s">
        <v>826</v>
      </c>
      <c r="I275" s="714" t="s">
        <v>28</v>
      </c>
      <c r="J275" s="1395" t="s">
        <v>854</v>
      </c>
    </row>
    <row r="276" spans="1:10" x14ac:dyDescent="0.25">
      <c r="A276" s="1418">
        <v>5.12</v>
      </c>
      <c r="B276" s="1417" t="s">
        <v>548</v>
      </c>
      <c r="C276" s="1451" t="s">
        <v>827</v>
      </c>
      <c r="D276" s="1388" t="s">
        <v>28</v>
      </c>
      <c r="E276" s="1389">
        <v>275</v>
      </c>
      <c r="F276" s="1402">
        <v>4.3</v>
      </c>
      <c r="G276" s="1394" t="s">
        <v>885</v>
      </c>
      <c r="H276" s="372" t="s">
        <v>826</v>
      </c>
      <c r="I276" s="714" t="s">
        <v>28</v>
      </c>
      <c r="J276" s="1395" t="s">
        <v>886</v>
      </c>
    </row>
    <row r="277" spans="1:10" x14ac:dyDescent="0.25">
      <c r="A277" s="1421">
        <v>5.13</v>
      </c>
      <c r="B277" s="1422" t="s">
        <v>548</v>
      </c>
      <c r="C277" s="1451" t="s">
        <v>827</v>
      </c>
      <c r="D277" s="1388" t="s">
        <v>28</v>
      </c>
      <c r="E277" s="1389">
        <v>276</v>
      </c>
      <c r="F277" s="1402">
        <v>4.4000000000000004</v>
      </c>
      <c r="G277" s="1394" t="s">
        <v>889</v>
      </c>
      <c r="H277" s="372" t="s">
        <v>826</v>
      </c>
      <c r="I277" s="714" t="s">
        <v>28</v>
      </c>
      <c r="J277" s="1395" t="s">
        <v>890</v>
      </c>
    </row>
    <row r="278" spans="1:10" x14ac:dyDescent="0.25">
      <c r="A278" s="1414" t="s">
        <v>909</v>
      </c>
      <c r="B278" s="1415" t="s">
        <v>825</v>
      </c>
      <c r="C278" s="1451" t="s">
        <v>827</v>
      </c>
      <c r="D278" s="1388" t="s">
        <v>28</v>
      </c>
      <c r="E278" s="1389">
        <v>277</v>
      </c>
      <c r="F278" s="1390" t="s">
        <v>732</v>
      </c>
      <c r="G278" s="1401" t="s">
        <v>825</v>
      </c>
      <c r="H278" s="1095" t="s">
        <v>826</v>
      </c>
      <c r="I278" s="714" t="s">
        <v>28</v>
      </c>
      <c r="J278" s="1395" t="s">
        <v>828</v>
      </c>
    </row>
    <row r="279" spans="1:10" x14ac:dyDescent="0.25">
      <c r="A279" s="1418" t="s">
        <v>910</v>
      </c>
      <c r="B279" s="1417" t="s">
        <v>825</v>
      </c>
      <c r="C279" s="1451" t="s">
        <v>827</v>
      </c>
      <c r="D279" s="1388" t="s">
        <v>28</v>
      </c>
      <c r="E279" s="1389">
        <v>278</v>
      </c>
      <c r="F279" s="1390" t="s">
        <v>734</v>
      </c>
      <c r="G279" s="1401" t="s">
        <v>548</v>
      </c>
      <c r="H279" s="1095" t="s">
        <v>826</v>
      </c>
      <c r="I279" s="714" t="s">
        <v>28</v>
      </c>
      <c r="J279" s="1395" t="s">
        <v>548</v>
      </c>
    </row>
    <row r="280" spans="1:10" x14ac:dyDescent="0.25">
      <c r="A280" s="1418" t="s">
        <v>911</v>
      </c>
      <c r="B280" s="1417" t="s">
        <v>857</v>
      </c>
      <c r="C280" s="1451" t="s">
        <v>827</v>
      </c>
      <c r="D280" s="1388" t="s">
        <v>28</v>
      </c>
      <c r="E280" s="1389">
        <v>279</v>
      </c>
      <c r="F280" s="1390" t="s">
        <v>736</v>
      </c>
      <c r="G280" s="1420" t="s">
        <v>894</v>
      </c>
      <c r="H280" s="1095" t="s">
        <v>826</v>
      </c>
      <c r="I280" s="714" t="s">
        <v>28</v>
      </c>
      <c r="J280" s="1395" t="s">
        <v>895</v>
      </c>
    </row>
    <row r="281" spans="1:10" x14ac:dyDescent="0.25">
      <c r="A281" s="1418" t="s">
        <v>912</v>
      </c>
      <c r="B281" s="1417" t="s">
        <v>913</v>
      </c>
      <c r="C281" s="1451" t="s">
        <v>827</v>
      </c>
      <c r="D281" s="1388" t="s">
        <v>28</v>
      </c>
      <c r="E281" s="1389">
        <v>280</v>
      </c>
      <c r="F281" s="1390" t="s">
        <v>738</v>
      </c>
      <c r="G281" s="1401" t="s">
        <v>548</v>
      </c>
      <c r="H281" s="1095" t="s">
        <v>826</v>
      </c>
      <c r="I281" s="714" t="s">
        <v>28</v>
      </c>
      <c r="J281" s="1395" t="s">
        <v>548</v>
      </c>
    </row>
    <row r="282" spans="1:10" x14ac:dyDescent="0.25">
      <c r="A282" s="1418" t="s">
        <v>914</v>
      </c>
      <c r="B282" s="1417" t="s">
        <v>857</v>
      </c>
      <c r="C282" s="1451" t="s">
        <v>827</v>
      </c>
      <c r="D282" s="1388" t="s">
        <v>28</v>
      </c>
      <c r="E282" s="1389">
        <v>281</v>
      </c>
      <c r="F282" s="1402">
        <v>5.3</v>
      </c>
      <c r="G282" s="1394" t="s">
        <v>899</v>
      </c>
      <c r="H282" s="372" t="s">
        <v>826</v>
      </c>
      <c r="I282" s="714" t="s">
        <v>28</v>
      </c>
      <c r="J282" s="1395" t="s">
        <v>900</v>
      </c>
    </row>
    <row r="283" spans="1:10" x14ac:dyDescent="0.25">
      <c r="A283" s="1418" t="s">
        <v>915</v>
      </c>
      <c r="B283" s="1417" t="s">
        <v>857</v>
      </c>
      <c r="C283" s="1451" t="s">
        <v>827</v>
      </c>
      <c r="D283" s="1388" t="s">
        <v>28</v>
      </c>
      <c r="E283" s="1389">
        <v>282</v>
      </c>
      <c r="F283" s="1402">
        <v>5.4</v>
      </c>
      <c r="G283" s="1401" t="s">
        <v>903</v>
      </c>
      <c r="H283" s="372" t="s">
        <v>826</v>
      </c>
      <c r="I283" s="714" t="s">
        <v>28</v>
      </c>
      <c r="J283" s="1395" t="s">
        <v>864</v>
      </c>
    </row>
    <row r="284" spans="1:10" x14ac:dyDescent="0.25">
      <c r="A284" s="1418" t="s">
        <v>916</v>
      </c>
      <c r="B284" s="1417" t="s">
        <v>837</v>
      </c>
      <c r="C284" s="1451" t="s">
        <v>827</v>
      </c>
      <c r="D284" s="1388" t="s">
        <v>28</v>
      </c>
      <c r="E284" s="1389">
        <v>283</v>
      </c>
      <c r="F284" s="1402">
        <v>5.5</v>
      </c>
      <c r="G284" s="1394" t="s">
        <v>841</v>
      </c>
      <c r="H284" s="372" t="s">
        <v>826</v>
      </c>
      <c r="I284" s="714" t="s">
        <v>28</v>
      </c>
      <c r="J284" s="1395" t="s">
        <v>856</v>
      </c>
    </row>
    <row r="285" spans="1:10" x14ac:dyDescent="0.25">
      <c r="A285" s="1418" t="s">
        <v>917</v>
      </c>
      <c r="B285" s="1417" t="s">
        <v>837</v>
      </c>
      <c r="C285" s="1451" t="s">
        <v>827</v>
      </c>
      <c r="D285" s="1388" t="s">
        <v>28</v>
      </c>
      <c r="E285" s="1389">
        <v>284</v>
      </c>
      <c r="F285" s="1402">
        <v>5.6</v>
      </c>
      <c r="G285" s="1394" t="s">
        <v>825</v>
      </c>
      <c r="H285" s="372" t="s">
        <v>826</v>
      </c>
      <c r="I285" s="714" t="s">
        <v>28</v>
      </c>
      <c r="J285" s="1395" t="s">
        <v>828</v>
      </c>
    </row>
    <row r="286" spans="1:10" x14ac:dyDescent="0.25">
      <c r="A286" s="1421" t="s">
        <v>918</v>
      </c>
      <c r="B286" s="1422" t="s">
        <v>919</v>
      </c>
      <c r="C286" s="1451" t="s">
        <v>827</v>
      </c>
      <c r="D286" s="1388" t="s">
        <v>28</v>
      </c>
      <c r="E286" s="1389">
        <v>285</v>
      </c>
      <c r="F286" s="1390" t="s">
        <v>744</v>
      </c>
      <c r="G286" s="1401" t="s">
        <v>825</v>
      </c>
      <c r="H286" s="1095" t="s">
        <v>826</v>
      </c>
      <c r="I286" s="714" t="s">
        <v>28</v>
      </c>
      <c r="J286" s="1395" t="s">
        <v>828</v>
      </c>
    </row>
    <row r="287" spans="1:10" x14ac:dyDescent="0.25">
      <c r="A287" s="1414" t="s">
        <v>920</v>
      </c>
      <c r="B287" s="1415" t="s">
        <v>825</v>
      </c>
      <c r="C287" s="1451" t="s">
        <v>827</v>
      </c>
      <c r="D287" s="1388" t="s">
        <v>28</v>
      </c>
      <c r="E287" s="1389">
        <v>286</v>
      </c>
      <c r="F287" s="1390" t="s">
        <v>746</v>
      </c>
      <c r="G287" s="1401" t="s">
        <v>548</v>
      </c>
      <c r="H287" s="1095" t="s">
        <v>826</v>
      </c>
      <c r="I287" s="714" t="s">
        <v>28</v>
      </c>
      <c r="J287" s="1395" t="s">
        <v>548</v>
      </c>
    </row>
    <row r="288" spans="1:10" x14ac:dyDescent="0.25">
      <c r="A288" s="1418" t="s">
        <v>923</v>
      </c>
      <c r="B288" s="1419" t="s">
        <v>924</v>
      </c>
      <c r="C288" s="1451" t="s">
        <v>827</v>
      </c>
      <c r="D288" s="1388" t="s">
        <v>28</v>
      </c>
      <c r="E288" s="1389">
        <v>287</v>
      </c>
      <c r="F288" s="1390" t="s">
        <v>748</v>
      </c>
      <c r="G288" s="1401" t="s">
        <v>548</v>
      </c>
      <c r="H288" s="1095" t="s">
        <v>826</v>
      </c>
      <c r="I288" s="714" t="s">
        <v>28</v>
      </c>
      <c r="J288" s="1395" t="s">
        <v>548</v>
      </c>
    </row>
    <row r="289" spans="1:10" x14ac:dyDescent="0.25">
      <c r="A289" s="1418" t="s">
        <v>925</v>
      </c>
      <c r="B289" s="1417" t="s">
        <v>926</v>
      </c>
      <c r="C289" s="1451" t="s">
        <v>827</v>
      </c>
      <c r="D289" s="1388" t="s">
        <v>28</v>
      </c>
      <c r="E289" s="1389">
        <v>288</v>
      </c>
      <c r="F289" s="1390" t="s">
        <v>750</v>
      </c>
      <c r="G289" s="1394" t="s">
        <v>902</v>
      </c>
      <c r="H289" s="1095" t="s">
        <v>826</v>
      </c>
      <c r="I289" s="714" t="s">
        <v>28</v>
      </c>
      <c r="J289" s="1395" t="s">
        <v>908</v>
      </c>
    </row>
    <row r="290" spans="1:10" x14ac:dyDescent="0.25">
      <c r="A290" s="1418" t="s">
        <v>928</v>
      </c>
      <c r="B290" s="1417" t="s">
        <v>825</v>
      </c>
      <c r="C290" s="1451" t="s">
        <v>827</v>
      </c>
      <c r="D290" s="1388" t="s">
        <v>28</v>
      </c>
      <c r="E290" s="1389">
        <v>289</v>
      </c>
      <c r="F290" s="1390" t="s">
        <v>752</v>
      </c>
      <c r="G290" s="1401" t="s">
        <v>548</v>
      </c>
      <c r="H290" s="1095" t="s">
        <v>826</v>
      </c>
      <c r="I290" s="714" t="s">
        <v>28</v>
      </c>
      <c r="J290" s="1395" t="s">
        <v>548</v>
      </c>
    </row>
    <row r="291" spans="1:10" x14ac:dyDescent="0.25">
      <c r="A291" s="1416" t="s">
        <v>929</v>
      </c>
      <c r="B291" s="1417" t="s">
        <v>548</v>
      </c>
      <c r="C291" s="1451" t="s">
        <v>827</v>
      </c>
      <c r="D291" s="1388" t="s">
        <v>28</v>
      </c>
      <c r="E291" s="1389">
        <v>290</v>
      </c>
      <c r="F291" s="1402">
        <v>5.9</v>
      </c>
      <c r="G291" s="1401" t="s">
        <v>825</v>
      </c>
      <c r="H291" s="372" t="s">
        <v>826</v>
      </c>
      <c r="I291" s="714" t="s">
        <v>28</v>
      </c>
      <c r="J291" s="1395" t="s">
        <v>828</v>
      </c>
    </row>
    <row r="292" spans="1:10" x14ac:dyDescent="0.25">
      <c r="A292" s="1418" t="s">
        <v>930</v>
      </c>
      <c r="B292" s="1417" t="s">
        <v>825</v>
      </c>
      <c r="C292" s="1451" t="s">
        <v>827</v>
      </c>
      <c r="D292" s="1388" t="s">
        <v>28</v>
      </c>
      <c r="E292" s="1389">
        <v>291</v>
      </c>
      <c r="F292" s="1406" t="s">
        <v>755</v>
      </c>
      <c r="G292" s="1401" t="s">
        <v>548</v>
      </c>
      <c r="H292" s="372" t="s">
        <v>826</v>
      </c>
      <c r="I292" s="714" t="s">
        <v>28</v>
      </c>
      <c r="J292" s="1395" t="s">
        <v>548</v>
      </c>
    </row>
    <row r="293" spans="1:10" x14ac:dyDescent="0.25">
      <c r="A293" s="1416" t="s">
        <v>932</v>
      </c>
      <c r="B293" s="1417" t="s">
        <v>548</v>
      </c>
      <c r="C293" s="1451" t="s">
        <v>827</v>
      </c>
      <c r="D293" s="1388" t="s">
        <v>28</v>
      </c>
      <c r="E293" s="1389">
        <v>292</v>
      </c>
      <c r="F293" s="1402">
        <v>5.1100000000000003</v>
      </c>
      <c r="G293" s="1401" t="s">
        <v>548</v>
      </c>
      <c r="H293" s="372" t="s">
        <v>826</v>
      </c>
      <c r="I293" s="714" t="s">
        <v>28</v>
      </c>
      <c r="J293" s="1395" t="s">
        <v>548</v>
      </c>
    </row>
    <row r="294" spans="1:10" x14ac:dyDescent="0.25">
      <c r="A294" s="1418">
        <v>7.5</v>
      </c>
      <c r="B294" s="1417" t="s">
        <v>825</v>
      </c>
      <c r="C294" s="1451" t="s">
        <v>827</v>
      </c>
      <c r="D294" s="1388" t="s">
        <v>28</v>
      </c>
      <c r="E294" s="1389">
        <v>293</v>
      </c>
      <c r="F294" s="1402">
        <v>5.12</v>
      </c>
      <c r="G294" s="1401" t="s">
        <v>548</v>
      </c>
      <c r="H294" s="372" t="s">
        <v>826</v>
      </c>
      <c r="I294" s="714" t="s">
        <v>28</v>
      </c>
      <c r="J294" s="1395" t="s">
        <v>548</v>
      </c>
    </row>
    <row r="295" spans="1:10" x14ac:dyDescent="0.25">
      <c r="A295" s="1418">
        <v>7.6</v>
      </c>
      <c r="B295" s="1417" t="s">
        <v>825</v>
      </c>
      <c r="C295" s="1451" t="s">
        <v>827</v>
      </c>
      <c r="D295" s="1388" t="s">
        <v>28</v>
      </c>
      <c r="E295" s="1389">
        <v>294</v>
      </c>
      <c r="F295" s="1402">
        <v>5.13</v>
      </c>
      <c r="G295" s="1401" t="s">
        <v>548</v>
      </c>
      <c r="H295" s="372" t="s">
        <v>826</v>
      </c>
      <c r="I295" s="714" t="s">
        <v>28</v>
      </c>
      <c r="J295" s="1395" t="s">
        <v>548</v>
      </c>
    </row>
    <row r="296" spans="1:10" x14ac:dyDescent="0.25">
      <c r="A296" s="1418">
        <v>7.7</v>
      </c>
      <c r="B296" s="1417" t="s">
        <v>825</v>
      </c>
      <c r="C296" s="1451" t="s">
        <v>827</v>
      </c>
      <c r="D296" s="1388" t="s">
        <v>28</v>
      </c>
      <c r="E296" s="1389">
        <v>295</v>
      </c>
      <c r="F296" s="1402">
        <v>6.1</v>
      </c>
      <c r="G296" s="1401" t="s">
        <v>825</v>
      </c>
      <c r="H296" s="372" t="s">
        <v>826</v>
      </c>
      <c r="I296" s="714" t="s">
        <v>28</v>
      </c>
      <c r="J296" s="1395" t="s">
        <v>828</v>
      </c>
    </row>
    <row r="297" spans="1:10" x14ac:dyDescent="0.25">
      <c r="A297" s="1418">
        <v>7.8</v>
      </c>
      <c r="B297" s="1417" t="s">
        <v>825</v>
      </c>
      <c r="C297" s="1451" t="s">
        <v>827</v>
      </c>
      <c r="D297" s="1388" t="s">
        <v>28</v>
      </c>
      <c r="E297" s="1389">
        <v>296</v>
      </c>
      <c r="F297" s="1402">
        <v>6.2</v>
      </c>
      <c r="G297" s="1401" t="s">
        <v>825</v>
      </c>
      <c r="H297" s="372" t="s">
        <v>826</v>
      </c>
      <c r="I297" s="714" t="s">
        <v>28</v>
      </c>
      <c r="J297" s="1395" t="s">
        <v>828</v>
      </c>
    </row>
    <row r="298" spans="1:10" x14ac:dyDescent="0.25">
      <c r="A298" s="1424" t="s">
        <v>935</v>
      </c>
      <c r="B298" s="1417" t="s">
        <v>825</v>
      </c>
      <c r="C298" s="1451" t="s">
        <v>827</v>
      </c>
      <c r="D298" s="1388" t="s">
        <v>28</v>
      </c>
      <c r="E298" s="1389">
        <v>297</v>
      </c>
      <c r="F298" s="1402">
        <v>6.3</v>
      </c>
      <c r="G298" s="1401" t="s">
        <v>869</v>
      </c>
      <c r="H298" s="372" t="s">
        <v>826</v>
      </c>
      <c r="I298" s="714" t="s">
        <v>28</v>
      </c>
      <c r="J298" s="1423" t="s">
        <v>870</v>
      </c>
    </row>
    <row r="299" spans="1:10" x14ac:dyDescent="0.25">
      <c r="A299" s="1418" t="s">
        <v>936</v>
      </c>
      <c r="B299" s="1417" t="s">
        <v>825</v>
      </c>
      <c r="C299" s="1451" t="s">
        <v>827</v>
      </c>
      <c r="D299" s="1388" t="s">
        <v>28</v>
      </c>
      <c r="E299" s="1389">
        <v>298</v>
      </c>
      <c r="F299" s="1402">
        <v>6.4</v>
      </c>
      <c r="G299" s="1401" t="s">
        <v>921</v>
      </c>
      <c r="H299" s="372" t="s">
        <v>826</v>
      </c>
      <c r="I299" s="714" t="s">
        <v>28</v>
      </c>
      <c r="J299" s="1395" t="s">
        <v>922</v>
      </c>
    </row>
    <row r="300" spans="1:10" x14ac:dyDescent="0.25">
      <c r="A300" s="1418" t="s">
        <v>937</v>
      </c>
      <c r="B300" s="1417" t="s">
        <v>825</v>
      </c>
      <c r="C300" s="1451" t="s">
        <v>827</v>
      </c>
      <c r="D300" s="1388" t="s">
        <v>28</v>
      </c>
      <c r="E300" s="1389">
        <v>299</v>
      </c>
      <c r="F300" s="1390" t="s">
        <v>765</v>
      </c>
      <c r="G300" s="1394" t="s">
        <v>834</v>
      </c>
      <c r="H300" s="1095" t="s">
        <v>826</v>
      </c>
      <c r="I300" s="714" t="s">
        <v>28</v>
      </c>
      <c r="J300" s="1395" t="s">
        <v>854</v>
      </c>
    </row>
    <row r="301" spans="1:10" x14ac:dyDescent="0.25">
      <c r="A301" s="1418" t="s">
        <v>787</v>
      </c>
      <c r="B301" s="1417" t="s">
        <v>825</v>
      </c>
      <c r="C301" s="1451" t="s">
        <v>827</v>
      </c>
      <c r="D301" s="1388" t="s">
        <v>28</v>
      </c>
      <c r="E301" s="1389">
        <v>300</v>
      </c>
      <c r="F301" s="1390" t="s">
        <v>767</v>
      </c>
      <c r="G301" s="1394" t="s">
        <v>927</v>
      </c>
      <c r="H301" s="1095" t="s">
        <v>826</v>
      </c>
      <c r="I301" s="714" t="s">
        <v>28</v>
      </c>
      <c r="J301" s="1395" t="s">
        <v>854</v>
      </c>
    </row>
    <row r="302" spans="1:10" x14ac:dyDescent="0.25">
      <c r="A302" s="1418">
        <v>7.11</v>
      </c>
      <c r="B302" s="1417" t="s">
        <v>825</v>
      </c>
      <c r="C302" s="1451" t="s">
        <v>827</v>
      </c>
      <c r="D302" s="1388" t="s">
        <v>28</v>
      </c>
      <c r="E302" s="1389">
        <v>301</v>
      </c>
      <c r="F302" s="1402">
        <v>6.6</v>
      </c>
      <c r="G302" s="1401" t="s">
        <v>832</v>
      </c>
      <c r="H302" s="372" t="s">
        <v>826</v>
      </c>
      <c r="I302" s="714" t="s">
        <v>28</v>
      </c>
      <c r="J302" s="1423" t="s">
        <v>833</v>
      </c>
    </row>
    <row r="303" spans="1:10" x14ac:dyDescent="0.25">
      <c r="A303" s="1418">
        <v>7.12</v>
      </c>
      <c r="B303" s="1417" t="s">
        <v>825</v>
      </c>
      <c r="C303" s="1451" t="s">
        <v>827</v>
      </c>
      <c r="D303" s="1388" t="s">
        <v>28</v>
      </c>
      <c r="E303" s="1389">
        <v>302</v>
      </c>
      <c r="F303" s="1402">
        <v>7.1</v>
      </c>
      <c r="G303" s="1401" t="s">
        <v>825</v>
      </c>
      <c r="H303" s="372" t="s">
        <v>826</v>
      </c>
      <c r="I303" s="714" t="s">
        <v>28</v>
      </c>
      <c r="J303" s="1395" t="s">
        <v>828</v>
      </c>
    </row>
    <row r="304" spans="1:10" x14ac:dyDescent="0.25">
      <c r="A304" s="1418">
        <v>7.13</v>
      </c>
      <c r="B304" s="1417" t="s">
        <v>938</v>
      </c>
      <c r="C304" s="1451" t="s">
        <v>827</v>
      </c>
      <c r="D304" s="1388" t="s">
        <v>28</v>
      </c>
      <c r="E304" s="1389">
        <v>303</v>
      </c>
      <c r="F304" s="1390" t="s">
        <v>773</v>
      </c>
      <c r="G304" s="1394" t="s">
        <v>931</v>
      </c>
      <c r="H304" s="1095" t="s">
        <v>826</v>
      </c>
      <c r="I304" s="714" t="s">
        <v>28</v>
      </c>
      <c r="J304" s="1395" t="s">
        <v>864</v>
      </c>
    </row>
    <row r="305" spans="1:10" x14ac:dyDescent="0.25">
      <c r="A305" s="1418">
        <v>7.14</v>
      </c>
      <c r="B305" s="1417" t="s">
        <v>825</v>
      </c>
      <c r="C305" s="1451" t="s">
        <v>827</v>
      </c>
      <c r="D305" s="1388" t="s">
        <v>28</v>
      </c>
      <c r="E305" s="1389">
        <v>304</v>
      </c>
      <c r="F305" s="1390" t="s">
        <v>775</v>
      </c>
      <c r="G305" s="1394" t="s">
        <v>933</v>
      </c>
      <c r="H305" s="1095" t="s">
        <v>826</v>
      </c>
      <c r="I305" s="714" t="s">
        <v>28</v>
      </c>
      <c r="J305" s="1395" t="s">
        <v>934</v>
      </c>
    </row>
    <row r="306" spans="1:10" x14ac:dyDescent="0.25">
      <c r="A306" s="1418">
        <v>7.15</v>
      </c>
      <c r="B306" s="1417" t="s">
        <v>825</v>
      </c>
      <c r="C306" s="1451" t="s">
        <v>827</v>
      </c>
      <c r="D306" s="1388" t="s">
        <v>28</v>
      </c>
      <c r="E306" s="1389">
        <v>305</v>
      </c>
      <c r="F306" s="1390" t="s">
        <v>776</v>
      </c>
      <c r="G306" s="1394" t="s">
        <v>825</v>
      </c>
      <c r="H306" s="1095" t="s">
        <v>826</v>
      </c>
      <c r="I306" s="714" t="s">
        <v>28</v>
      </c>
      <c r="J306" s="1395" t="s">
        <v>828</v>
      </c>
    </row>
    <row r="307" spans="1:10" x14ac:dyDescent="0.25">
      <c r="A307" s="1418">
        <v>7.16</v>
      </c>
      <c r="B307" s="1417" t="s">
        <v>825</v>
      </c>
      <c r="C307" s="1451" t="s">
        <v>827</v>
      </c>
      <c r="D307" s="1388" t="s">
        <v>28</v>
      </c>
      <c r="E307" s="1389">
        <v>306</v>
      </c>
      <c r="F307" s="1390" t="s">
        <v>778</v>
      </c>
      <c r="G307" s="1401" t="s">
        <v>548</v>
      </c>
      <c r="H307" s="1095" t="s">
        <v>826</v>
      </c>
      <c r="I307" s="714" t="s">
        <v>28</v>
      </c>
      <c r="J307" s="1395" t="s">
        <v>548</v>
      </c>
    </row>
    <row r="308" spans="1:10" x14ac:dyDescent="0.25">
      <c r="A308" s="1421">
        <v>7.17</v>
      </c>
      <c r="B308" s="1422" t="s">
        <v>889</v>
      </c>
      <c r="C308" s="1451" t="s">
        <v>827</v>
      </c>
      <c r="D308" s="1388" t="s">
        <v>28</v>
      </c>
      <c r="E308" s="1389">
        <v>307</v>
      </c>
      <c r="F308" s="1390" t="s">
        <v>779</v>
      </c>
      <c r="G308" s="1401" t="s">
        <v>825</v>
      </c>
      <c r="H308" s="1095" t="s">
        <v>826</v>
      </c>
      <c r="I308" s="714" t="s">
        <v>28</v>
      </c>
      <c r="J308" s="1395" t="s">
        <v>828</v>
      </c>
    </row>
    <row r="309" spans="1:10" x14ac:dyDescent="0.25">
      <c r="A309" s="1414" t="s">
        <v>941</v>
      </c>
      <c r="B309" s="1415" t="s">
        <v>825</v>
      </c>
      <c r="C309" s="1451" t="s">
        <v>827</v>
      </c>
      <c r="D309" s="1388" t="s">
        <v>28</v>
      </c>
      <c r="E309" s="1389">
        <v>308</v>
      </c>
      <c r="F309" s="1390" t="s">
        <v>781</v>
      </c>
      <c r="G309" s="1401" t="s">
        <v>548</v>
      </c>
      <c r="H309" s="1095" t="s">
        <v>826</v>
      </c>
      <c r="I309" s="714" t="s">
        <v>28</v>
      </c>
      <c r="J309" s="1395" t="s">
        <v>548</v>
      </c>
    </row>
    <row r="310" spans="1:10" x14ac:dyDescent="0.25">
      <c r="A310" s="1418" t="s">
        <v>942</v>
      </c>
      <c r="B310" s="1417" t="s">
        <v>825</v>
      </c>
      <c r="C310" s="1451" t="s">
        <v>827</v>
      </c>
      <c r="D310" s="1388" t="s">
        <v>28</v>
      </c>
      <c r="E310" s="1389">
        <v>309</v>
      </c>
      <c r="F310" s="1402">
        <v>7.5</v>
      </c>
      <c r="G310" s="1401" t="s">
        <v>825</v>
      </c>
      <c r="H310" s="372" t="s">
        <v>826</v>
      </c>
      <c r="I310" s="714" t="s">
        <v>28</v>
      </c>
      <c r="J310" s="1395" t="s">
        <v>828</v>
      </c>
    </row>
    <row r="311" spans="1:10" x14ac:dyDescent="0.25">
      <c r="A311" s="1418" t="s">
        <v>943</v>
      </c>
      <c r="B311" s="1417" t="s">
        <v>825</v>
      </c>
      <c r="C311" s="1451" t="s">
        <v>827</v>
      </c>
      <c r="D311" s="1388" t="s">
        <v>28</v>
      </c>
      <c r="E311" s="1389">
        <v>310</v>
      </c>
      <c r="F311" s="1402">
        <v>7.6</v>
      </c>
      <c r="G311" s="1401" t="s">
        <v>825</v>
      </c>
      <c r="H311" s="372" t="s">
        <v>826</v>
      </c>
      <c r="I311" s="714" t="s">
        <v>28</v>
      </c>
      <c r="J311" s="1395" t="s">
        <v>828</v>
      </c>
    </row>
    <row r="312" spans="1:10" x14ac:dyDescent="0.25">
      <c r="A312" s="1418" t="s">
        <v>944</v>
      </c>
      <c r="B312" s="1417" t="s">
        <v>889</v>
      </c>
      <c r="C312" s="1451" t="s">
        <v>827</v>
      </c>
      <c r="D312" s="1388" t="s">
        <v>28</v>
      </c>
      <c r="E312" s="1389">
        <v>311</v>
      </c>
      <c r="F312" s="1402">
        <v>7.7</v>
      </c>
      <c r="G312" s="1401" t="s">
        <v>825</v>
      </c>
      <c r="H312" s="372" t="s">
        <v>826</v>
      </c>
      <c r="I312" s="714" t="s">
        <v>28</v>
      </c>
      <c r="J312" s="1395" t="s">
        <v>828</v>
      </c>
    </row>
    <row r="313" spans="1:10" x14ac:dyDescent="0.25">
      <c r="A313" s="1418" t="s">
        <v>945</v>
      </c>
      <c r="B313" s="1417" t="s">
        <v>834</v>
      </c>
      <c r="C313" s="1451" t="s">
        <v>827</v>
      </c>
      <c r="D313" s="1388" t="s">
        <v>28</v>
      </c>
      <c r="E313" s="1389">
        <v>312</v>
      </c>
      <c r="F313" s="1402">
        <v>7.8</v>
      </c>
      <c r="G313" s="1401" t="s">
        <v>825</v>
      </c>
      <c r="H313" s="372" t="s">
        <v>826</v>
      </c>
      <c r="I313" s="714" t="s">
        <v>28</v>
      </c>
      <c r="J313" s="1395" t="s">
        <v>828</v>
      </c>
    </row>
    <row r="314" spans="1:10" x14ac:dyDescent="0.25">
      <c r="A314" s="1430">
        <v>1.1000000000000001</v>
      </c>
      <c r="B314" s="1431" t="s">
        <v>825</v>
      </c>
      <c r="C314" s="1451" t="s">
        <v>827</v>
      </c>
      <c r="D314" s="1388" t="s">
        <v>946</v>
      </c>
      <c r="E314" s="1389">
        <v>313</v>
      </c>
      <c r="F314" s="1402">
        <v>7.9</v>
      </c>
      <c r="G314" s="1401" t="s">
        <v>825</v>
      </c>
      <c r="H314" s="372" t="s">
        <v>826</v>
      </c>
      <c r="I314" s="714" t="s">
        <v>28</v>
      </c>
      <c r="J314" s="1395" t="s">
        <v>828</v>
      </c>
    </row>
    <row r="315" spans="1:10" x14ac:dyDescent="0.25">
      <c r="A315" s="1396">
        <v>1.2</v>
      </c>
      <c r="B315" s="1397" t="s">
        <v>829</v>
      </c>
      <c r="C315" s="1451" t="s">
        <v>827</v>
      </c>
      <c r="D315" s="1388" t="s">
        <v>946</v>
      </c>
      <c r="E315" s="1389">
        <v>314</v>
      </c>
      <c r="F315" s="1406" t="s">
        <v>787</v>
      </c>
      <c r="G315" s="1394" t="s">
        <v>825</v>
      </c>
      <c r="H315" s="372" t="s">
        <v>826</v>
      </c>
      <c r="I315" s="714" t="s">
        <v>28</v>
      </c>
      <c r="J315" s="1395" t="s">
        <v>828</v>
      </c>
    </row>
    <row r="316" spans="1:10" x14ac:dyDescent="0.25">
      <c r="A316" s="1398">
        <v>2.1</v>
      </c>
      <c r="B316" s="1393" t="s">
        <v>825</v>
      </c>
      <c r="C316" s="1451" t="s">
        <v>827</v>
      </c>
      <c r="D316" s="1388" t="s">
        <v>946</v>
      </c>
      <c r="E316" s="1389">
        <v>315</v>
      </c>
      <c r="F316" s="1402">
        <v>7.11</v>
      </c>
      <c r="G316" s="1401" t="s">
        <v>825</v>
      </c>
      <c r="H316" s="372" t="s">
        <v>826</v>
      </c>
      <c r="I316" s="714" t="s">
        <v>28</v>
      </c>
      <c r="J316" s="1395" t="s">
        <v>828</v>
      </c>
    </row>
    <row r="317" spans="1:10" x14ac:dyDescent="0.25">
      <c r="A317" s="1399">
        <v>2.2000000000000002</v>
      </c>
      <c r="B317" s="1400" t="s">
        <v>548</v>
      </c>
      <c r="C317" s="1451" t="s">
        <v>827</v>
      </c>
      <c r="D317" s="1388" t="s">
        <v>946</v>
      </c>
      <c r="E317" s="1389">
        <v>316</v>
      </c>
      <c r="F317" s="1402">
        <v>7.12</v>
      </c>
      <c r="G317" s="1401" t="s">
        <v>825</v>
      </c>
      <c r="H317" s="372" t="s">
        <v>826</v>
      </c>
      <c r="I317" s="714" t="s">
        <v>28</v>
      </c>
      <c r="J317" s="1395" t="s">
        <v>828</v>
      </c>
    </row>
    <row r="318" spans="1:10" x14ac:dyDescent="0.25">
      <c r="A318" s="1399">
        <v>2.2999999999999998</v>
      </c>
      <c r="B318" s="1400" t="s">
        <v>825</v>
      </c>
      <c r="C318" s="1451" t="s">
        <v>827</v>
      </c>
      <c r="D318" s="1388" t="s">
        <v>946</v>
      </c>
      <c r="E318" s="1389">
        <v>317</v>
      </c>
      <c r="F318" s="1390" t="s">
        <v>791</v>
      </c>
      <c r="G318" s="1401" t="s">
        <v>825</v>
      </c>
      <c r="H318" s="1095" t="s">
        <v>826</v>
      </c>
      <c r="I318" s="714" t="s">
        <v>28</v>
      </c>
      <c r="J318" s="1395" t="s">
        <v>828</v>
      </c>
    </row>
    <row r="319" spans="1:10" x14ac:dyDescent="0.25">
      <c r="A319" s="1399">
        <v>2.4</v>
      </c>
      <c r="B319" s="1400" t="s">
        <v>837</v>
      </c>
      <c r="C319" s="1451" t="s">
        <v>827</v>
      </c>
      <c r="D319" s="1388" t="s">
        <v>946</v>
      </c>
      <c r="E319" s="1389">
        <v>318</v>
      </c>
      <c r="F319" s="1390" t="s">
        <v>793</v>
      </c>
      <c r="G319" s="1401" t="s">
        <v>939</v>
      </c>
      <c r="H319" s="1095" t="s">
        <v>826</v>
      </c>
      <c r="I319" s="714" t="s">
        <v>28</v>
      </c>
      <c r="J319" s="1395" t="s">
        <v>940</v>
      </c>
    </row>
    <row r="320" spans="1:10" x14ac:dyDescent="0.25">
      <c r="A320" s="1399">
        <v>2.5</v>
      </c>
      <c r="B320" s="1400" t="s">
        <v>889</v>
      </c>
      <c r="C320" s="1451" t="s">
        <v>827</v>
      </c>
      <c r="D320" s="1388" t="s">
        <v>946</v>
      </c>
      <c r="E320" s="1389">
        <v>319</v>
      </c>
      <c r="F320" s="1402">
        <v>7.14</v>
      </c>
      <c r="G320" s="1401" t="s">
        <v>825</v>
      </c>
      <c r="H320" s="372" t="s">
        <v>826</v>
      </c>
      <c r="I320" s="714" t="s">
        <v>28</v>
      </c>
      <c r="J320" s="1395" t="s">
        <v>828</v>
      </c>
    </row>
    <row r="321" spans="1:10" x14ac:dyDescent="0.25">
      <c r="A321" s="1399">
        <v>2.6</v>
      </c>
      <c r="B321" s="1400" t="s">
        <v>841</v>
      </c>
      <c r="C321" s="1451" t="s">
        <v>827</v>
      </c>
      <c r="D321" s="1388" t="s">
        <v>946</v>
      </c>
      <c r="E321" s="1389">
        <v>320</v>
      </c>
      <c r="F321" s="1402">
        <v>7.15</v>
      </c>
      <c r="G321" s="1401" t="s">
        <v>825</v>
      </c>
      <c r="H321" s="372" t="s">
        <v>826</v>
      </c>
      <c r="I321" s="714" t="s">
        <v>28</v>
      </c>
      <c r="J321" s="1395" t="s">
        <v>828</v>
      </c>
    </row>
    <row r="322" spans="1:10" x14ac:dyDescent="0.25">
      <c r="A322" s="1403" t="s">
        <v>842</v>
      </c>
      <c r="B322" s="1400" t="s">
        <v>825</v>
      </c>
      <c r="C322" s="1451" t="s">
        <v>827</v>
      </c>
      <c r="D322" s="1388" t="s">
        <v>946</v>
      </c>
      <c r="E322" s="1389">
        <v>321</v>
      </c>
      <c r="F322" s="1402">
        <v>7.16</v>
      </c>
      <c r="G322" s="1401" t="s">
        <v>825</v>
      </c>
      <c r="H322" s="372" t="s">
        <v>826</v>
      </c>
      <c r="I322" s="714" t="s">
        <v>28</v>
      </c>
      <c r="J322" s="1395" t="s">
        <v>828</v>
      </c>
    </row>
    <row r="323" spans="1:10" x14ac:dyDescent="0.25">
      <c r="A323" s="1399" t="s">
        <v>843</v>
      </c>
      <c r="B323" s="1400" t="s">
        <v>978</v>
      </c>
      <c r="C323" s="1451" t="s">
        <v>827</v>
      </c>
      <c r="D323" s="1388" t="s">
        <v>946</v>
      </c>
      <c r="E323" s="1389">
        <v>322</v>
      </c>
      <c r="F323" s="1402">
        <v>7.17</v>
      </c>
      <c r="G323" s="1401" t="s">
        <v>825</v>
      </c>
      <c r="H323" s="372" t="s">
        <v>826</v>
      </c>
      <c r="I323" s="714" t="s">
        <v>28</v>
      </c>
      <c r="J323" s="1395" t="s">
        <v>828</v>
      </c>
    </row>
    <row r="324" spans="1:10" x14ac:dyDescent="0.25">
      <c r="A324" s="1399">
        <v>2.8</v>
      </c>
      <c r="B324" s="1400" t="s">
        <v>846</v>
      </c>
      <c r="C324" s="1451" t="s">
        <v>827</v>
      </c>
      <c r="D324" s="1388" t="s">
        <v>946</v>
      </c>
      <c r="E324" s="1389">
        <v>323</v>
      </c>
      <c r="F324" s="1390" t="s">
        <v>800</v>
      </c>
      <c r="G324" s="1401" t="s">
        <v>825</v>
      </c>
      <c r="H324" s="1095" t="s">
        <v>826</v>
      </c>
      <c r="I324" s="714" t="s">
        <v>28</v>
      </c>
      <c r="J324" s="1395" t="s">
        <v>828</v>
      </c>
    </row>
    <row r="325" spans="1:10" x14ac:dyDescent="0.25">
      <c r="A325" s="1399">
        <v>2.9</v>
      </c>
      <c r="B325" s="1400" t="s">
        <v>849</v>
      </c>
      <c r="C325" s="1451" t="s">
        <v>827</v>
      </c>
      <c r="D325" s="1388" t="s">
        <v>946</v>
      </c>
      <c r="E325" s="1389">
        <v>324</v>
      </c>
      <c r="F325" s="1390" t="s">
        <v>802</v>
      </c>
      <c r="G325" s="1394" t="s">
        <v>889</v>
      </c>
      <c r="H325" s="1095" t="s">
        <v>826</v>
      </c>
      <c r="I325" s="714" t="s">
        <v>28</v>
      </c>
      <c r="J325" s="1395" t="s">
        <v>890</v>
      </c>
    </row>
    <row r="326" spans="1:10" x14ac:dyDescent="0.25">
      <c r="A326" s="1404" t="s">
        <v>708</v>
      </c>
      <c r="B326" s="1397" t="s">
        <v>841</v>
      </c>
      <c r="C326" s="1451" t="s">
        <v>827</v>
      </c>
      <c r="D326" s="1388" t="s">
        <v>946</v>
      </c>
      <c r="E326" s="1389">
        <v>325</v>
      </c>
      <c r="F326" s="1402">
        <v>8.1999999999999993</v>
      </c>
      <c r="G326" s="1401" t="s">
        <v>947</v>
      </c>
      <c r="H326" s="372" t="s">
        <v>826</v>
      </c>
      <c r="I326" s="714" t="s">
        <v>28</v>
      </c>
      <c r="J326" s="1395" t="s">
        <v>948</v>
      </c>
    </row>
    <row r="327" spans="1:10" x14ac:dyDescent="0.25">
      <c r="A327" s="1398" t="s">
        <v>850</v>
      </c>
      <c r="B327" s="1393" t="s">
        <v>825</v>
      </c>
      <c r="C327" s="1451" t="s">
        <v>827</v>
      </c>
      <c r="D327" s="1388" t="s">
        <v>946</v>
      </c>
      <c r="E327" s="1389">
        <v>326</v>
      </c>
      <c r="F327" s="1402">
        <v>8.3000000000000007</v>
      </c>
      <c r="G327" s="1401" t="s">
        <v>825</v>
      </c>
      <c r="H327" s="372" t="s">
        <v>826</v>
      </c>
      <c r="I327" s="714" t="s">
        <v>28</v>
      </c>
      <c r="J327" s="1395" t="s">
        <v>828</v>
      </c>
    </row>
    <row r="328" spans="1:10" x14ac:dyDescent="0.25">
      <c r="A328" s="1399" t="s">
        <v>853</v>
      </c>
      <c r="B328" s="1400" t="s">
        <v>825</v>
      </c>
      <c r="C328" s="1451" t="s">
        <v>827</v>
      </c>
      <c r="D328" s="1388" t="s">
        <v>946</v>
      </c>
      <c r="E328" s="1389">
        <v>327</v>
      </c>
      <c r="F328" s="1402">
        <v>8.4</v>
      </c>
      <c r="G328" s="1401" t="s">
        <v>949</v>
      </c>
      <c r="H328" s="372" t="s">
        <v>826</v>
      </c>
      <c r="I328" s="714" t="s">
        <v>28</v>
      </c>
      <c r="J328" s="1395" t="s">
        <v>950</v>
      </c>
    </row>
    <row r="329" spans="1:10" ht="15.75" thickBot="1" x14ac:dyDescent="0.3">
      <c r="A329" s="1399" t="s">
        <v>714</v>
      </c>
      <c r="B329" s="1405" t="s">
        <v>855</v>
      </c>
      <c r="C329" s="1451" t="s">
        <v>827</v>
      </c>
      <c r="D329" s="1388" t="s">
        <v>946</v>
      </c>
      <c r="E329" s="1389">
        <v>328</v>
      </c>
      <c r="F329" s="1435">
        <v>8.5</v>
      </c>
      <c r="G329" s="1446" t="s">
        <v>825</v>
      </c>
      <c r="H329" s="1452" t="s">
        <v>826</v>
      </c>
      <c r="I329" s="1453" t="s">
        <v>28</v>
      </c>
      <c r="J329" s="1438" t="s">
        <v>828</v>
      </c>
    </row>
    <row r="330" spans="1:10" ht="16.5" thickTop="1" thickBot="1" x14ac:dyDescent="0.3">
      <c r="A330" s="1399" t="s">
        <v>715</v>
      </c>
      <c r="B330" s="1400" t="s">
        <v>837</v>
      </c>
      <c r="C330" s="1451" t="s">
        <v>827</v>
      </c>
      <c r="D330" s="1388" t="s">
        <v>946</v>
      </c>
      <c r="E330" s="1389">
        <v>329</v>
      </c>
      <c r="F330" s="1390" t="s">
        <v>684</v>
      </c>
      <c r="G330" s="1446" t="s">
        <v>825</v>
      </c>
      <c r="H330" s="1454" t="s">
        <v>826</v>
      </c>
      <c r="I330" s="714" t="s">
        <v>951</v>
      </c>
      <c r="J330" s="1395" t="s">
        <v>828</v>
      </c>
    </row>
    <row r="331" spans="1:10" ht="15.75" thickTop="1" x14ac:dyDescent="0.25">
      <c r="A331" s="1399" t="s">
        <v>716</v>
      </c>
      <c r="B331" s="1400" t="s">
        <v>857</v>
      </c>
      <c r="C331" s="1451" t="s">
        <v>827</v>
      </c>
      <c r="D331" s="1388" t="s">
        <v>946</v>
      </c>
      <c r="E331" s="1389">
        <v>330</v>
      </c>
      <c r="F331" s="1390" t="s">
        <v>686</v>
      </c>
      <c r="G331" s="1394" t="s">
        <v>830</v>
      </c>
      <c r="H331" s="1454" t="s">
        <v>826</v>
      </c>
      <c r="I331" s="714" t="s">
        <v>951</v>
      </c>
      <c r="J331" s="1395" t="s">
        <v>831</v>
      </c>
    </row>
    <row r="332" spans="1:10" x14ac:dyDescent="0.25">
      <c r="A332" s="1399" t="s">
        <v>858</v>
      </c>
      <c r="B332" s="1405" t="s">
        <v>859</v>
      </c>
      <c r="C332" s="1451" t="s">
        <v>827</v>
      </c>
      <c r="D332" s="1388" t="s">
        <v>946</v>
      </c>
      <c r="E332" s="1389">
        <v>331</v>
      </c>
      <c r="F332" s="1402">
        <v>1.2</v>
      </c>
      <c r="G332" s="1401" t="s">
        <v>952</v>
      </c>
      <c r="H332" s="1454" t="s">
        <v>826</v>
      </c>
      <c r="I332" s="714" t="s">
        <v>951</v>
      </c>
      <c r="J332" s="1395" t="s">
        <v>833</v>
      </c>
    </row>
    <row r="333" spans="1:10" x14ac:dyDescent="0.25">
      <c r="A333" s="1399" t="s">
        <v>860</v>
      </c>
      <c r="B333" s="1400" t="s">
        <v>861</v>
      </c>
      <c r="C333" s="1451" t="s">
        <v>827</v>
      </c>
      <c r="D333" s="1388" t="s">
        <v>946</v>
      </c>
      <c r="E333" s="1389">
        <v>332</v>
      </c>
      <c r="F333" s="1390" t="s">
        <v>689</v>
      </c>
      <c r="G333" s="1401" t="s">
        <v>825</v>
      </c>
      <c r="H333" s="1454" t="s">
        <v>826</v>
      </c>
      <c r="I333" s="714" t="s">
        <v>951</v>
      </c>
      <c r="J333" s="1395" t="s">
        <v>828</v>
      </c>
    </row>
    <row r="334" spans="1:10" x14ac:dyDescent="0.25">
      <c r="A334" s="1399" t="s">
        <v>865</v>
      </c>
      <c r="B334" s="1397" t="s">
        <v>825</v>
      </c>
      <c r="C334" s="1451" t="s">
        <v>827</v>
      </c>
      <c r="D334" s="1388" t="s">
        <v>946</v>
      </c>
      <c r="E334" s="1389">
        <v>333</v>
      </c>
      <c r="F334" s="1390" t="s">
        <v>691</v>
      </c>
      <c r="G334" s="1401" t="s">
        <v>835</v>
      </c>
      <c r="H334" s="1454" t="s">
        <v>826</v>
      </c>
      <c r="I334" s="714" t="s">
        <v>951</v>
      </c>
      <c r="J334" s="1395" t="s">
        <v>836</v>
      </c>
    </row>
    <row r="335" spans="1:10" x14ac:dyDescent="0.25">
      <c r="A335" s="1408" t="s">
        <v>867</v>
      </c>
      <c r="B335" s="1409" t="s">
        <v>825</v>
      </c>
      <c r="C335" s="1451" t="s">
        <v>827</v>
      </c>
      <c r="D335" s="1388" t="s">
        <v>946</v>
      </c>
      <c r="E335" s="1389">
        <v>334</v>
      </c>
      <c r="F335" s="1402">
        <v>1.4</v>
      </c>
      <c r="G335" s="1401" t="s">
        <v>838</v>
      </c>
      <c r="H335" s="1454" t="s">
        <v>826</v>
      </c>
      <c r="I335" s="714" t="s">
        <v>951</v>
      </c>
      <c r="J335" s="1395" t="s">
        <v>839</v>
      </c>
    </row>
    <row r="336" spans="1:10" x14ac:dyDescent="0.25">
      <c r="A336" s="1410" t="s">
        <v>871</v>
      </c>
      <c r="B336" s="1411" t="s">
        <v>861</v>
      </c>
      <c r="C336" s="1451" t="s">
        <v>827</v>
      </c>
      <c r="D336" s="1388" t="s">
        <v>946</v>
      </c>
      <c r="E336" s="1389">
        <v>335</v>
      </c>
      <c r="F336" s="1402">
        <v>2.1</v>
      </c>
      <c r="G336" s="1401" t="s">
        <v>825</v>
      </c>
      <c r="H336" s="1454" t="s">
        <v>826</v>
      </c>
      <c r="I336" s="714" t="s">
        <v>951</v>
      </c>
      <c r="J336" s="1395" t="s">
        <v>828</v>
      </c>
    </row>
    <row r="337" spans="1:10" x14ac:dyDescent="0.25">
      <c r="A337" s="1410" t="s">
        <v>873</v>
      </c>
      <c r="B337" s="1413" t="s">
        <v>874</v>
      </c>
      <c r="C337" s="1451" t="s">
        <v>827</v>
      </c>
      <c r="D337" s="1388" t="s">
        <v>946</v>
      </c>
      <c r="E337" s="1389">
        <v>336</v>
      </c>
      <c r="F337" s="1402">
        <v>2.2000000000000002</v>
      </c>
      <c r="G337" s="1401" t="s">
        <v>548</v>
      </c>
      <c r="H337" s="1454" t="s">
        <v>826</v>
      </c>
      <c r="I337" s="714" t="s">
        <v>951</v>
      </c>
      <c r="J337" s="1395" t="s">
        <v>548</v>
      </c>
    </row>
    <row r="338" spans="1:10" x14ac:dyDescent="0.25">
      <c r="A338" s="1414" t="s">
        <v>877</v>
      </c>
      <c r="B338" s="1415" t="s">
        <v>548</v>
      </c>
      <c r="C338" s="1451" t="s">
        <v>827</v>
      </c>
      <c r="D338" s="1388" t="s">
        <v>946</v>
      </c>
      <c r="E338" s="1389">
        <v>337</v>
      </c>
      <c r="F338" s="1402">
        <v>2.2999999999999998</v>
      </c>
      <c r="G338" s="1401" t="s">
        <v>825</v>
      </c>
      <c r="H338" s="1454" t="s">
        <v>826</v>
      </c>
      <c r="I338" s="714" t="s">
        <v>951</v>
      </c>
      <c r="J338" s="1395" t="s">
        <v>828</v>
      </c>
    </row>
    <row r="339" spans="1:10" x14ac:dyDescent="0.25">
      <c r="A339" s="1416" t="s">
        <v>878</v>
      </c>
      <c r="B339" s="1417" t="s">
        <v>825</v>
      </c>
      <c r="C339" s="1451" t="s">
        <v>827</v>
      </c>
      <c r="D339" s="1388" t="s">
        <v>946</v>
      </c>
      <c r="E339" s="1389">
        <v>338</v>
      </c>
      <c r="F339" s="1402">
        <v>2.4</v>
      </c>
      <c r="G339" s="1394" t="s">
        <v>837</v>
      </c>
      <c r="H339" s="1454" t="s">
        <v>826</v>
      </c>
      <c r="I339" s="714" t="s">
        <v>951</v>
      </c>
      <c r="J339" s="1395" t="s">
        <v>845</v>
      </c>
    </row>
    <row r="340" spans="1:10" x14ac:dyDescent="0.25">
      <c r="A340" s="1418" t="s">
        <v>879</v>
      </c>
      <c r="B340" s="1417" t="s">
        <v>548</v>
      </c>
      <c r="C340" s="1451" t="s">
        <v>827</v>
      </c>
      <c r="D340" s="1388" t="s">
        <v>946</v>
      </c>
      <c r="E340" s="1389">
        <v>339</v>
      </c>
      <c r="F340" s="1402">
        <v>2.5</v>
      </c>
      <c r="G340" s="1394" t="s">
        <v>847</v>
      </c>
      <c r="H340" s="1454" t="s">
        <v>826</v>
      </c>
      <c r="I340" s="714" t="s">
        <v>951</v>
      </c>
      <c r="J340" s="1395" t="s">
        <v>848</v>
      </c>
    </row>
    <row r="341" spans="1:10" x14ac:dyDescent="0.25">
      <c r="A341" s="1416" t="s">
        <v>883</v>
      </c>
      <c r="B341" s="1417" t="s">
        <v>837</v>
      </c>
      <c r="C341" s="1451" t="s">
        <v>827</v>
      </c>
      <c r="D341" s="1388" t="s">
        <v>946</v>
      </c>
      <c r="E341" s="1389">
        <v>340</v>
      </c>
      <c r="F341" s="1402">
        <v>2.6</v>
      </c>
      <c r="G341" s="1401" t="s">
        <v>825</v>
      </c>
      <c r="H341" s="1454" t="s">
        <v>826</v>
      </c>
      <c r="I341" s="714" t="s">
        <v>951</v>
      </c>
      <c r="J341" s="1395" t="s">
        <v>828</v>
      </c>
    </row>
    <row r="342" spans="1:10" x14ac:dyDescent="0.25">
      <c r="A342" s="1418" t="s">
        <v>884</v>
      </c>
      <c r="B342" s="1417" t="s">
        <v>825</v>
      </c>
      <c r="C342" s="1451" t="s">
        <v>827</v>
      </c>
      <c r="D342" s="1388" t="s">
        <v>946</v>
      </c>
      <c r="E342" s="1389">
        <v>341</v>
      </c>
      <c r="F342" s="1390" t="s">
        <v>702</v>
      </c>
      <c r="G342" s="1401" t="s">
        <v>548</v>
      </c>
      <c r="H342" s="1454" t="s">
        <v>826</v>
      </c>
      <c r="I342" s="714" t="s">
        <v>951</v>
      </c>
      <c r="J342" s="1395" t="s">
        <v>548</v>
      </c>
    </row>
    <row r="343" spans="1:10" x14ac:dyDescent="0.25">
      <c r="A343" s="1418" t="s">
        <v>887</v>
      </c>
      <c r="B343" s="1419" t="s">
        <v>888</v>
      </c>
      <c r="C343" s="1451" t="s">
        <v>827</v>
      </c>
      <c r="D343" s="1388" t="s">
        <v>946</v>
      </c>
      <c r="E343" s="1389">
        <v>342</v>
      </c>
      <c r="F343" s="1390" t="s">
        <v>704</v>
      </c>
      <c r="G343" s="1401" t="s">
        <v>979</v>
      </c>
      <c r="H343" s="1454" t="s">
        <v>826</v>
      </c>
      <c r="I343" s="714" t="s">
        <v>951</v>
      </c>
      <c r="J343" s="1395" t="s">
        <v>980</v>
      </c>
    </row>
    <row r="344" spans="1:10" x14ac:dyDescent="0.25">
      <c r="A344" s="1418" t="s">
        <v>891</v>
      </c>
      <c r="B344" s="1417" t="s">
        <v>841</v>
      </c>
      <c r="C344" s="1451" t="s">
        <v>827</v>
      </c>
      <c r="D344" s="1388" t="s">
        <v>946</v>
      </c>
      <c r="E344" s="1389">
        <v>343</v>
      </c>
      <c r="F344" s="1402">
        <v>2.8</v>
      </c>
      <c r="G344" s="1401" t="s">
        <v>954</v>
      </c>
      <c r="H344" s="1454" t="s">
        <v>826</v>
      </c>
      <c r="I344" s="714" t="s">
        <v>951</v>
      </c>
      <c r="J344" s="1395" t="s">
        <v>955</v>
      </c>
    </row>
    <row r="345" spans="1:10" x14ac:dyDescent="0.25">
      <c r="A345" s="1418" t="s">
        <v>892</v>
      </c>
      <c r="B345" s="1417" t="s">
        <v>825</v>
      </c>
      <c r="C345" s="1451" t="s">
        <v>827</v>
      </c>
      <c r="D345" s="1388" t="s">
        <v>946</v>
      </c>
      <c r="E345" s="1389">
        <v>344</v>
      </c>
      <c r="F345" s="1402">
        <v>2.9</v>
      </c>
      <c r="G345" s="1401" t="s">
        <v>837</v>
      </c>
      <c r="H345" s="1454" t="s">
        <v>826</v>
      </c>
      <c r="I345" s="714" t="s">
        <v>951</v>
      </c>
      <c r="J345" s="1395" t="s">
        <v>845</v>
      </c>
    </row>
    <row r="346" spans="1:10" x14ac:dyDescent="0.25">
      <c r="A346" s="1418" t="s">
        <v>893</v>
      </c>
      <c r="B346" s="1417" t="s">
        <v>548</v>
      </c>
      <c r="C346" s="1451" t="s">
        <v>827</v>
      </c>
      <c r="D346" s="1388" t="s">
        <v>946</v>
      </c>
      <c r="E346" s="1389">
        <v>345</v>
      </c>
      <c r="F346" s="1406" t="s">
        <v>708</v>
      </c>
      <c r="G346" s="1401" t="s">
        <v>841</v>
      </c>
      <c r="H346" s="1454" t="s">
        <v>826</v>
      </c>
      <c r="I346" s="714" t="s">
        <v>951</v>
      </c>
      <c r="J346" s="1395" t="s">
        <v>856</v>
      </c>
    </row>
    <row r="347" spans="1:10" x14ac:dyDescent="0.25">
      <c r="A347" s="1416" t="s">
        <v>896</v>
      </c>
      <c r="B347" s="1417" t="s">
        <v>834</v>
      </c>
      <c r="C347" s="1451" t="s">
        <v>827</v>
      </c>
      <c r="D347" s="1388" t="s">
        <v>946</v>
      </c>
      <c r="E347" s="1389">
        <v>346</v>
      </c>
      <c r="F347" s="1402">
        <v>3.1</v>
      </c>
      <c r="G347" s="1401" t="s">
        <v>825</v>
      </c>
      <c r="H347" s="1454" t="s">
        <v>826</v>
      </c>
      <c r="I347" s="714" t="s">
        <v>951</v>
      </c>
      <c r="J347" s="1395" t="s">
        <v>828</v>
      </c>
    </row>
    <row r="348" spans="1:10" x14ac:dyDescent="0.25">
      <c r="A348" s="1418" t="s">
        <v>897</v>
      </c>
      <c r="B348" s="1417" t="s">
        <v>898</v>
      </c>
      <c r="C348" s="1451" t="s">
        <v>827</v>
      </c>
      <c r="D348" s="1388" t="s">
        <v>946</v>
      </c>
      <c r="E348" s="1389">
        <v>347</v>
      </c>
      <c r="F348" s="1402">
        <v>3.2</v>
      </c>
      <c r="G348" s="1401" t="s">
        <v>825</v>
      </c>
      <c r="H348" s="1454" t="s">
        <v>826</v>
      </c>
      <c r="I348" s="714" t="s">
        <v>951</v>
      </c>
      <c r="J348" s="1395" t="s">
        <v>828</v>
      </c>
    </row>
    <row r="349" spans="1:10" x14ac:dyDescent="0.25">
      <c r="A349" s="1418" t="s">
        <v>901</v>
      </c>
      <c r="B349" s="1417" t="s">
        <v>902</v>
      </c>
      <c r="C349" s="1451" t="s">
        <v>827</v>
      </c>
      <c r="D349" s="1388" t="s">
        <v>946</v>
      </c>
      <c r="E349" s="1389">
        <v>348</v>
      </c>
      <c r="F349" s="1390" t="s">
        <v>862</v>
      </c>
      <c r="G349" s="1394" t="s">
        <v>863</v>
      </c>
      <c r="H349" s="1454" t="s">
        <v>826</v>
      </c>
      <c r="I349" s="714" t="s">
        <v>951</v>
      </c>
      <c r="J349" s="1395" t="s">
        <v>864</v>
      </c>
    </row>
    <row r="350" spans="1:10" x14ac:dyDescent="0.25">
      <c r="A350" s="1418" t="s">
        <v>904</v>
      </c>
      <c r="B350" s="1417" t="s">
        <v>905</v>
      </c>
      <c r="C350" s="1451" t="s">
        <v>827</v>
      </c>
      <c r="D350" s="1388" t="s">
        <v>946</v>
      </c>
      <c r="E350" s="1389">
        <v>349</v>
      </c>
      <c r="F350" s="1390" t="s">
        <v>866</v>
      </c>
      <c r="G350" s="1394" t="s">
        <v>837</v>
      </c>
      <c r="H350" s="1454" t="s">
        <v>826</v>
      </c>
      <c r="I350" s="714" t="s">
        <v>951</v>
      </c>
      <c r="J350" s="1395" t="s">
        <v>845</v>
      </c>
    </row>
    <row r="351" spans="1:10" x14ac:dyDescent="0.25">
      <c r="A351" s="1418" t="s">
        <v>906</v>
      </c>
      <c r="B351" s="1417" t="s">
        <v>825</v>
      </c>
      <c r="C351" s="1451" t="s">
        <v>827</v>
      </c>
      <c r="D351" s="1388" t="s">
        <v>946</v>
      </c>
      <c r="E351" s="1389">
        <v>350</v>
      </c>
      <c r="F351" s="1390" t="s">
        <v>868</v>
      </c>
      <c r="G351" s="1401" t="s">
        <v>869</v>
      </c>
      <c r="H351" s="1454" t="s">
        <v>826</v>
      </c>
      <c r="I351" s="714" t="s">
        <v>951</v>
      </c>
      <c r="J351" s="1395" t="s">
        <v>870</v>
      </c>
    </row>
    <row r="352" spans="1:10" x14ac:dyDescent="0.25">
      <c r="A352" s="1418" t="s">
        <v>755</v>
      </c>
      <c r="B352" s="1417" t="s">
        <v>907</v>
      </c>
      <c r="C352" s="1451" t="s">
        <v>827</v>
      </c>
      <c r="D352" s="1388" t="s">
        <v>946</v>
      </c>
      <c r="E352" s="1389">
        <v>351</v>
      </c>
      <c r="F352" s="1402">
        <v>3.4</v>
      </c>
      <c r="G352" s="1401" t="s">
        <v>872</v>
      </c>
      <c r="H352" s="1454" t="s">
        <v>826</v>
      </c>
      <c r="I352" s="714" t="s">
        <v>951</v>
      </c>
      <c r="J352" s="1395" t="s">
        <v>864</v>
      </c>
    </row>
    <row r="353" spans="1:10" x14ac:dyDescent="0.25">
      <c r="A353" s="1418">
        <v>5.1100000000000003</v>
      </c>
      <c r="B353" s="1417" t="s">
        <v>958</v>
      </c>
      <c r="C353" s="1451" t="s">
        <v>827</v>
      </c>
      <c r="D353" s="1388" t="s">
        <v>946</v>
      </c>
      <c r="E353" s="1389">
        <v>352</v>
      </c>
      <c r="F353" s="1402">
        <v>3.5</v>
      </c>
      <c r="G353" s="1394" t="s">
        <v>875</v>
      </c>
      <c r="H353" s="1454" t="s">
        <v>826</v>
      </c>
      <c r="I353" s="714" t="s">
        <v>951</v>
      </c>
      <c r="J353" s="1395" t="s">
        <v>876</v>
      </c>
    </row>
    <row r="354" spans="1:10" x14ac:dyDescent="0.25">
      <c r="A354" s="1418">
        <v>5.12</v>
      </c>
      <c r="B354" s="1417" t="s">
        <v>849</v>
      </c>
      <c r="C354" s="1451" t="s">
        <v>827</v>
      </c>
      <c r="D354" s="1388" t="s">
        <v>946</v>
      </c>
      <c r="E354" s="1389">
        <v>353</v>
      </c>
      <c r="F354" s="1402">
        <v>3.6</v>
      </c>
      <c r="G354" s="1401" t="s">
        <v>825</v>
      </c>
      <c r="H354" s="1454" t="s">
        <v>826</v>
      </c>
      <c r="I354" s="714" t="s">
        <v>951</v>
      </c>
      <c r="J354" s="1395" t="s">
        <v>828</v>
      </c>
    </row>
    <row r="355" spans="1:10" x14ac:dyDescent="0.25">
      <c r="A355" s="1421">
        <v>5.13</v>
      </c>
      <c r="B355" s="1422" t="s">
        <v>959</v>
      </c>
      <c r="C355" s="1451" t="s">
        <v>827</v>
      </c>
      <c r="D355" s="1388" t="s">
        <v>946</v>
      </c>
      <c r="E355" s="1389">
        <v>354</v>
      </c>
      <c r="F355" s="1390" t="s">
        <v>723</v>
      </c>
      <c r="G355" s="1401" t="s">
        <v>825</v>
      </c>
      <c r="H355" s="1454" t="s">
        <v>826</v>
      </c>
      <c r="I355" s="714" t="s">
        <v>951</v>
      </c>
      <c r="J355" s="1395" t="s">
        <v>828</v>
      </c>
    </row>
    <row r="356" spans="1:10" x14ac:dyDescent="0.25">
      <c r="A356" s="1414" t="s">
        <v>909</v>
      </c>
      <c r="B356" s="1415" t="s">
        <v>825</v>
      </c>
      <c r="C356" s="1451" t="s">
        <v>827</v>
      </c>
      <c r="D356" s="1388" t="s">
        <v>946</v>
      </c>
      <c r="E356" s="1389">
        <v>355</v>
      </c>
      <c r="F356" s="1390" t="s">
        <v>725</v>
      </c>
      <c r="G356" s="1401" t="s">
        <v>957</v>
      </c>
      <c r="H356" s="1454" t="s">
        <v>826</v>
      </c>
      <c r="I356" s="714" t="s">
        <v>951</v>
      </c>
      <c r="J356" s="1395" t="s">
        <v>882</v>
      </c>
    </row>
    <row r="357" spans="1:10" x14ac:dyDescent="0.25">
      <c r="A357" s="1418" t="s">
        <v>910</v>
      </c>
      <c r="B357" s="1417" t="s">
        <v>825</v>
      </c>
      <c r="C357" s="1451" t="s">
        <v>827</v>
      </c>
      <c r="D357" s="1388" t="s">
        <v>946</v>
      </c>
      <c r="E357" s="1389">
        <v>356</v>
      </c>
      <c r="F357" s="1402">
        <v>4.2</v>
      </c>
      <c r="G357" s="1401" t="s">
        <v>926</v>
      </c>
      <c r="H357" s="1454" t="s">
        <v>826</v>
      </c>
      <c r="I357" s="714" t="s">
        <v>951</v>
      </c>
      <c r="J357" s="1395" t="s">
        <v>900</v>
      </c>
    </row>
    <row r="358" spans="1:10" x14ac:dyDescent="0.25">
      <c r="A358" s="1418" t="s">
        <v>911</v>
      </c>
      <c r="B358" s="1417" t="s">
        <v>857</v>
      </c>
      <c r="C358" s="1451" t="s">
        <v>827</v>
      </c>
      <c r="D358" s="1388" t="s">
        <v>946</v>
      </c>
      <c r="E358" s="1389">
        <v>357</v>
      </c>
      <c r="F358" s="1402">
        <v>4.3</v>
      </c>
      <c r="G358" s="1394" t="s">
        <v>885</v>
      </c>
      <c r="H358" s="1454" t="s">
        <v>826</v>
      </c>
      <c r="I358" s="714" t="s">
        <v>951</v>
      </c>
      <c r="J358" s="1395" t="s">
        <v>886</v>
      </c>
    </row>
    <row r="359" spans="1:10" x14ac:dyDescent="0.25">
      <c r="A359" s="1418" t="s">
        <v>912</v>
      </c>
      <c r="B359" s="1417" t="s">
        <v>913</v>
      </c>
      <c r="C359" s="1451" t="s">
        <v>827</v>
      </c>
      <c r="D359" s="1388" t="s">
        <v>946</v>
      </c>
      <c r="E359" s="1389">
        <v>358</v>
      </c>
      <c r="F359" s="1402">
        <v>4.4000000000000004</v>
      </c>
      <c r="G359" s="1394" t="s">
        <v>889</v>
      </c>
      <c r="H359" s="1454" t="s">
        <v>826</v>
      </c>
      <c r="I359" s="714" t="s">
        <v>951</v>
      </c>
      <c r="J359" s="1395" t="s">
        <v>890</v>
      </c>
    </row>
    <row r="360" spans="1:10" x14ac:dyDescent="0.25">
      <c r="A360" s="1418" t="s">
        <v>914</v>
      </c>
      <c r="B360" s="1417" t="s">
        <v>857</v>
      </c>
      <c r="C360" s="1451" t="s">
        <v>827</v>
      </c>
      <c r="D360" s="1388" t="s">
        <v>946</v>
      </c>
      <c r="E360" s="1389">
        <v>359</v>
      </c>
      <c r="F360" s="1390" t="s">
        <v>732</v>
      </c>
      <c r="G360" s="1401" t="s">
        <v>548</v>
      </c>
      <c r="H360" s="1454" t="s">
        <v>826</v>
      </c>
      <c r="I360" s="714" t="s">
        <v>951</v>
      </c>
      <c r="J360" s="1395" t="s">
        <v>548</v>
      </c>
    </row>
    <row r="361" spans="1:10" x14ac:dyDescent="0.25">
      <c r="A361" s="1418" t="s">
        <v>915</v>
      </c>
      <c r="B361" s="1417" t="s">
        <v>857</v>
      </c>
      <c r="C361" s="1451" t="s">
        <v>827</v>
      </c>
      <c r="D361" s="1388" t="s">
        <v>946</v>
      </c>
      <c r="E361" s="1389">
        <v>360</v>
      </c>
      <c r="F361" s="1390" t="s">
        <v>734</v>
      </c>
      <c r="G361" s="1401" t="s">
        <v>825</v>
      </c>
      <c r="H361" s="1454" t="s">
        <v>826</v>
      </c>
      <c r="I361" s="714" t="s">
        <v>951</v>
      </c>
      <c r="J361" s="1395" t="s">
        <v>828</v>
      </c>
    </row>
    <row r="362" spans="1:10" x14ac:dyDescent="0.25">
      <c r="A362" s="1418" t="s">
        <v>916</v>
      </c>
      <c r="B362" s="1417" t="s">
        <v>837</v>
      </c>
      <c r="C362" s="1451" t="s">
        <v>827</v>
      </c>
      <c r="D362" s="1388" t="s">
        <v>946</v>
      </c>
      <c r="E362" s="1389">
        <v>361</v>
      </c>
      <c r="F362" s="1390" t="s">
        <v>736</v>
      </c>
      <c r="G362" s="1420" t="s">
        <v>548</v>
      </c>
      <c r="H362" s="1454" t="s">
        <v>826</v>
      </c>
      <c r="I362" s="714" t="s">
        <v>951</v>
      </c>
      <c r="J362" s="1395" t="s">
        <v>548</v>
      </c>
    </row>
    <row r="363" spans="1:10" x14ac:dyDescent="0.25">
      <c r="A363" s="1418" t="s">
        <v>917</v>
      </c>
      <c r="B363" s="1417" t="s">
        <v>837</v>
      </c>
      <c r="C363" s="1451" t="s">
        <v>827</v>
      </c>
      <c r="D363" s="1388" t="s">
        <v>946</v>
      </c>
      <c r="E363" s="1389">
        <v>362</v>
      </c>
      <c r="F363" s="1390" t="s">
        <v>738</v>
      </c>
      <c r="G363" s="1401" t="s">
        <v>837</v>
      </c>
      <c r="H363" s="1454" t="s">
        <v>826</v>
      </c>
      <c r="I363" s="714" t="s">
        <v>951</v>
      </c>
      <c r="J363" s="1395" t="s">
        <v>845</v>
      </c>
    </row>
    <row r="364" spans="1:10" x14ac:dyDescent="0.25">
      <c r="A364" s="1421" t="s">
        <v>918</v>
      </c>
      <c r="B364" s="1422" t="s">
        <v>919</v>
      </c>
      <c r="C364" s="1451" t="s">
        <v>827</v>
      </c>
      <c r="D364" s="1388" t="s">
        <v>946</v>
      </c>
      <c r="E364" s="1389">
        <v>363</v>
      </c>
      <c r="F364" s="1402">
        <v>5.3</v>
      </c>
      <c r="G364" s="1394" t="s">
        <v>899</v>
      </c>
      <c r="H364" s="1454" t="s">
        <v>826</v>
      </c>
      <c r="I364" s="714" t="s">
        <v>951</v>
      </c>
      <c r="J364" s="1395" t="s">
        <v>900</v>
      </c>
    </row>
    <row r="365" spans="1:10" x14ac:dyDescent="0.25">
      <c r="A365" s="1414" t="s">
        <v>920</v>
      </c>
      <c r="B365" s="1415" t="s">
        <v>825</v>
      </c>
      <c r="C365" s="1451" t="s">
        <v>827</v>
      </c>
      <c r="D365" s="1388" t="s">
        <v>946</v>
      </c>
      <c r="E365" s="1389">
        <v>364</v>
      </c>
      <c r="F365" s="1402">
        <v>5.4</v>
      </c>
      <c r="G365" s="1401" t="s">
        <v>903</v>
      </c>
      <c r="H365" s="1454" t="s">
        <v>826</v>
      </c>
      <c r="I365" s="714" t="s">
        <v>951</v>
      </c>
      <c r="J365" s="1395" t="s">
        <v>864</v>
      </c>
    </row>
    <row r="366" spans="1:10" x14ac:dyDescent="0.25">
      <c r="A366" s="1418" t="s">
        <v>923</v>
      </c>
      <c r="B366" s="1419" t="s">
        <v>924</v>
      </c>
      <c r="C366" s="1451" t="s">
        <v>827</v>
      </c>
      <c r="D366" s="1388" t="s">
        <v>946</v>
      </c>
      <c r="E366" s="1389">
        <v>365</v>
      </c>
      <c r="F366" s="1402">
        <v>5.5</v>
      </c>
      <c r="G366" s="1394" t="s">
        <v>841</v>
      </c>
      <c r="H366" s="1454" t="s">
        <v>826</v>
      </c>
      <c r="I366" s="714" t="s">
        <v>951</v>
      </c>
      <c r="J366" s="1395" t="s">
        <v>856</v>
      </c>
    </row>
    <row r="367" spans="1:10" x14ac:dyDescent="0.25">
      <c r="A367" s="1418" t="s">
        <v>925</v>
      </c>
      <c r="B367" s="1417" t="s">
        <v>926</v>
      </c>
      <c r="C367" s="1451" t="s">
        <v>827</v>
      </c>
      <c r="D367" s="1388" t="s">
        <v>946</v>
      </c>
      <c r="E367" s="1389">
        <v>366</v>
      </c>
      <c r="F367" s="1402">
        <v>5.6</v>
      </c>
      <c r="G367" s="1401" t="s">
        <v>825</v>
      </c>
      <c r="H367" s="1454" t="s">
        <v>826</v>
      </c>
      <c r="I367" s="714" t="s">
        <v>951</v>
      </c>
      <c r="J367" s="1395" t="s">
        <v>828</v>
      </c>
    </row>
    <row r="368" spans="1:10" x14ac:dyDescent="0.25">
      <c r="A368" s="1418" t="s">
        <v>928</v>
      </c>
      <c r="B368" s="1417" t="s">
        <v>548</v>
      </c>
      <c r="C368" s="1451" t="s">
        <v>827</v>
      </c>
      <c r="D368" s="1388" t="s">
        <v>946</v>
      </c>
      <c r="E368" s="1389">
        <v>367</v>
      </c>
      <c r="F368" s="1390" t="s">
        <v>744</v>
      </c>
      <c r="G368" s="1401" t="s">
        <v>548</v>
      </c>
      <c r="H368" s="1454" t="s">
        <v>826</v>
      </c>
      <c r="I368" s="714" t="s">
        <v>951</v>
      </c>
      <c r="J368" s="1395" t="s">
        <v>548</v>
      </c>
    </row>
    <row r="369" spans="1:10" x14ac:dyDescent="0.25">
      <c r="A369" s="1416" t="s">
        <v>929</v>
      </c>
      <c r="B369" s="1417" t="s">
        <v>837</v>
      </c>
      <c r="C369" s="1451" t="s">
        <v>827</v>
      </c>
      <c r="D369" s="1388" t="s">
        <v>946</v>
      </c>
      <c r="E369" s="1389">
        <v>368</v>
      </c>
      <c r="F369" s="1390" t="s">
        <v>746</v>
      </c>
      <c r="G369" s="1401" t="s">
        <v>834</v>
      </c>
      <c r="H369" s="1454" t="s">
        <v>826</v>
      </c>
      <c r="I369" s="714" t="s">
        <v>951</v>
      </c>
      <c r="J369" s="1395" t="s">
        <v>854</v>
      </c>
    </row>
    <row r="370" spans="1:10" x14ac:dyDescent="0.25">
      <c r="A370" s="1418" t="s">
        <v>930</v>
      </c>
      <c r="B370" s="1417" t="s">
        <v>548</v>
      </c>
      <c r="C370" s="1451" t="s">
        <v>827</v>
      </c>
      <c r="D370" s="1388" t="s">
        <v>946</v>
      </c>
      <c r="E370" s="1389">
        <v>369</v>
      </c>
      <c r="F370" s="1390" t="s">
        <v>748</v>
      </c>
      <c r="G370" s="1401" t="s">
        <v>961</v>
      </c>
      <c r="H370" s="1454" t="s">
        <v>826</v>
      </c>
      <c r="I370" s="714" t="s">
        <v>951</v>
      </c>
      <c r="J370" s="1439" t="s">
        <v>962</v>
      </c>
    </row>
    <row r="371" spans="1:10" x14ac:dyDescent="0.25">
      <c r="A371" s="1416" t="s">
        <v>932</v>
      </c>
      <c r="B371" s="1417" t="s">
        <v>841</v>
      </c>
      <c r="C371" s="1451" t="s">
        <v>827</v>
      </c>
      <c r="D371" s="1388" t="s">
        <v>946</v>
      </c>
      <c r="E371" s="1389">
        <v>370</v>
      </c>
      <c r="F371" s="1390" t="s">
        <v>750</v>
      </c>
      <c r="G371" s="1394" t="s">
        <v>902</v>
      </c>
      <c r="H371" s="1454" t="s">
        <v>826</v>
      </c>
      <c r="I371" s="714" t="s">
        <v>951</v>
      </c>
      <c r="J371" s="1395" t="s">
        <v>908</v>
      </c>
    </row>
    <row r="372" spans="1:10" x14ac:dyDescent="0.25">
      <c r="A372" s="1418">
        <v>7.5</v>
      </c>
      <c r="B372" s="1417" t="s">
        <v>825</v>
      </c>
      <c r="C372" s="1451" t="s">
        <v>827</v>
      </c>
      <c r="D372" s="1388" t="s">
        <v>946</v>
      </c>
      <c r="E372" s="1389">
        <v>371</v>
      </c>
      <c r="F372" s="1390" t="s">
        <v>752</v>
      </c>
      <c r="G372" s="1401" t="s">
        <v>963</v>
      </c>
      <c r="H372" s="1454" t="s">
        <v>826</v>
      </c>
      <c r="I372" s="714" t="s">
        <v>951</v>
      </c>
      <c r="J372" s="1423" t="s">
        <v>964</v>
      </c>
    </row>
    <row r="373" spans="1:10" x14ac:dyDescent="0.25">
      <c r="A373" s="1418">
        <v>7.6</v>
      </c>
      <c r="B373" s="1417" t="s">
        <v>825</v>
      </c>
      <c r="C373" s="1451" t="s">
        <v>827</v>
      </c>
      <c r="D373" s="1388" t="s">
        <v>946</v>
      </c>
      <c r="E373" s="1389">
        <v>372</v>
      </c>
      <c r="F373" s="1402">
        <v>5.9</v>
      </c>
      <c r="G373" s="1401" t="s">
        <v>825</v>
      </c>
      <c r="H373" s="1454" t="s">
        <v>826</v>
      </c>
      <c r="I373" s="714" t="s">
        <v>951</v>
      </c>
      <c r="J373" s="1395" t="s">
        <v>828</v>
      </c>
    </row>
    <row r="374" spans="1:10" x14ac:dyDescent="0.25">
      <c r="A374" s="1418">
        <v>7.7</v>
      </c>
      <c r="B374" s="1417" t="s">
        <v>825</v>
      </c>
      <c r="C374" s="1451" t="s">
        <v>827</v>
      </c>
      <c r="D374" s="1388" t="s">
        <v>946</v>
      </c>
      <c r="E374" s="1389">
        <v>373</v>
      </c>
      <c r="F374" s="1406" t="s">
        <v>755</v>
      </c>
      <c r="G374" s="1401" t="s">
        <v>976</v>
      </c>
      <c r="H374" s="1454" t="s">
        <v>826</v>
      </c>
      <c r="I374" s="714" t="s">
        <v>951</v>
      </c>
      <c r="J374" s="1395" t="s">
        <v>966</v>
      </c>
    </row>
    <row r="375" spans="1:10" x14ac:dyDescent="0.25">
      <c r="A375" s="1418">
        <v>7.8</v>
      </c>
      <c r="B375" s="1417" t="s">
        <v>825</v>
      </c>
      <c r="C375" s="1451" t="s">
        <v>827</v>
      </c>
      <c r="D375" s="1388" t="s">
        <v>946</v>
      </c>
      <c r="E375" s="1389">
        <v>374</v>
      </c>
      <c r="F375" s="1402">
        <v>5.1100000000000003</v>
      </c>
      <c r="G375" s="1401" t="s">
        <v>958</v>
      </c>
      <c r="H375" s="1454" t="s">
        <v>826</v>
      </c>
      <c r="I375" s="714" t="s">
        <v>951</v>
      </c>
      <c r="J375" s="1395" t="s">
        <v>968</v>
      </c>
    </row>
    <row r="376" spans="1:10" x14ac:dyDescent="0.25">
      <c r="A376" s="1424" t="s">
        <v>935</v>
      </c>
      <c r="B376" s="1417" t="s">
        <v>548</v>
      </c>
      <c r="C376" s="1451" t="s">
        <v>827</v>
      </c>
      <c r="D376" s="1388" t="s">
        <v>946</v>
      </c>
      <c r="E376" s="1389">
        <v>375</v>
      </c>
      <c r="F376" s="1402">
        <v>5.12</v>
      </c>
      <c r="G376" s="1401" t="s">
        <v>849</v>
      </c>
      <c r="H376" s="1454" t="s">
        <v>826</v>
      </c>
      <c r="I376" s="714" t="s">
        <v>951</v>
      </c>
      <c r="J376" s="1395">
        <v>10</v>
      </c>
    </row>
    <row r="377" spans="1:10" x14ac:dyDescent="0.25">
      <c r="A377" s="1418" t="s">
        <v>936</v>
      </c>
      <c r="B377" s="1417" t="s">
        <v>825</v>
      </c>
      <c r="C377" s="1451" t="s">
        <v>827</v>
      </c>
      <c r="D377" s="1388" t="s">
        <v>946</v>
      </c>
      <c r="E377" s="1389">
        <v>376</v>
      </c>
      <c r="F377" s="1402">
        <v>5.13</v>
      </c>
      <c r="G377" s="1401" t="s">
        <v>977</v>
      </c>
      <c r="H377" s="1454" t="s">
        <v>826</v>
      </c>
      <c r="I377" s="714" t="s">
        <v>951</v>
      </c>
      <c r="J377" s="1395" t="s">
        <v>970</v>
      </c>
    </row>
    <row r="378" spans="1:10" x14ac:dyDescent="0.25">
      <c r="A378" s="1418" t="s">
        <v>937</v>
      </c>
      <c r="B378" s="1417" t="s">
        <v>825</v>
      </c>
      <c r="C378" s="1451" t="s">
        <v>827</v>
      </c>
      <c r="D378" s="1388" t="s">
        <v>946</v>
      </c>
      <c r="E378" s="1389">
        <v>377</v>
      </c>
      <c r="F378" s="1402">
        <v>6.1</v>
      </c>
      <c r="G378" s="1401" t="s">
        <v>825</v>
      </c>
      <c r="H378" s="1454" t="s">
        <v>826</v>
      </c>
      <c r="I378" s="714" t="s">
        <v>951</v>
      </c>
      <c r="J378" s="1395" t="s">
        <v>828</v>
      </c>
    </row>
    <row r="379" spans="1:10" x14ac:dyDescent="0.25">
      <c r="A379" s="1418" t="s">
        <v>787</v>
      </c>
      <c r="B379" s="1417" t="s">
        <v>825</v>
      </c>
      <c r="C379" s="1451" t="s">
        <v>827</v>
      </c>
      <c r="D379" s="1388" t="s">
        <v>946</v>
      </c>
      <c r="E379" s="1389">
        <v>378</v>
      </c>
      <c r="F379" s="1402">
        <v>6.2</v>
      </c>
      <c r="G379" s="1401" t="s">
        <v>825</v>
      </c>
      <c r="H379" s="1454" t="s">
        <v>826</v>
      </c>
      <c r="I379" s="714" t="s">
        <v>951</v>
      </c>
      <c r="J379" s="1395" t="s">
        <v>828</v>
      </c>
    </row>
    <row r="380" spans="1:10" x14ac:dyDescent="0.25">
      <c r="A380" s="1418">
        <v>7.11</v>
      </c>
      <c r="B380" s="1417" t="s">
        <v>825</v>
      </c>
      <c r="C380" s="1451" t="s">
        <v>827</v>
      </c>
      <c r="D380" s="1388" t="s">
        <v>946</v>
      </c>
      <c r="E380" s="1389">
        <v>379</v>
      </c>
      <c r="F380" s="1402">
        <v>6.3</v>
      </c>
      <c r="G380" s="1401" t="s">
        <v>869</v>
      </c>
      <c r="H380" s="1454" t="s">
        <v>826</v>
      </c>
      <c r="I380" s="714" t="s">
        <v>951</v>
      </c>
      <c r="J380" s="1423" t="s">
        <v>870</v>
      </c>
    </row>
    <row r="381" spans="1:10" x14ac:dyDescent="0.25">
      <c r="A381" s="1418">
        <v>7.12</v>
      </c>
      <c r="B381" s="1417" t="s">
        <v>825</v>
      </c>
      <c r="C381" s="1451" t="s">
        <v>827</v>
      </c>
      <c r="D381" s="1388" t="s">
        <v>946</v>
      </c>
      <c r="E381" s="1389">
        <v>380</v>
      </c>
      <c r="F381" s="1402">
        <v>6.4</v>
      </c>
      <c r="G381" s="1401" t="s">
        <v>921</v>
      </c>
      <c r="H381" s="1454" t="s">
        <v>826</v>
      </c>
      <c r="I381" s="714" t="s">
        <v>951</v>
      </c>
      <c r="J381" s="1395" t="s">
        <v>922</v>
      </c>
    </row>
    <row r="382" spans="1:10" x14ac:dyDescent="0.25">
      <c r="A382" s="1418">
        <v>7.13</v>
      </c>
      <c r="B382" s="1417" t="s">
        <v>548</v>
      </c>
      <c r="C382" s="1451" t="s">
        <v>827</v>
      </c>
      <c r="D382" s="1388" t="s">
        <v>946</v>
      </c>
      <c r="E382" s="1389">
        <v>381</v>
      </c>
      <c r="F382" s="1390" t="s">
        <v>765</v>
      </c>
      <c r="G382" s="1394" t="s">
        <v>834</v>
      </c>
      <c r="H382" s="1454" t="s">
        <v>826</v>
      </c>
      <c r="I382" s="714" t="s">
        <v>951</v>
      </c>
      <c r="J382" s="1395" t="s">
        <v>854</v>
      </c>
    </row>
    <row r="383" spans="1:10" x14ac:dyDescent="0.25">
      <c r="A383" s="1418">
        <v>7.14</v>
      </c>
      <c r="B383" s="1417" t="s">
        <v>825</v>
      </c>
      <c r="C383" s="1451" t="s">
        <v>827</v>
      </c>
      <c r="D383" s="1388" t="s">
        <v>946</v>
      </c>
      <c r="E383" s="1389">
        <v>382</v>
      </c>
      <c r="F383" s="1390" t="s">
        <v>767</v>
      </c>
      <c r="G383" s="1394" t="s">
        <v>927</v>
      </c>
      <c r="H383" s="1454" t="s">
        <v>826</v>
      </c>
      <c r="I383" s="714" t="s">
        <v>951</v>
      </c>
      <c r="J383" s="1395" t="s">
        <v>854</v>
      </c>
    </row>
    <row r="384" spans="1:10" x14ac:dyDescent="0.25">
      <c r="A384" s="1418">
        <v>7.15</v>
      </c>
      <c r="B384" s="1417" t="s">
        <v>825</v>
      </c>
      <c r="C384" s="1451" t="s">
        <v>827</v>
      </c>
      <c r="D384" s="1388" t="s">
        <v>946</v>
      </c>
      <c r="E384" s="1389">
        <v>383</v>
      </c>
      <c r="F384" s="1402">
        <v>6.6</v>
      </c>
      <c r="G384" s="1401" t="s">
        <v>832</v>
      </c>
      <c r="H384" s="1454" t="s">
        <v>826</v>
      </c>
      <c r="I384" s="714" t="s">
        <v>951</v>
      </c>
      <c r="J384" s="1423" t="s">
        <v>833</v>
      </c>
    </row>
    <row r="385" spans="1:10" x14ac:dyDescent="0.25">
      <c r="A385" s="1418">
        <v>7.16</v>
      </c>
      <c r="B385" s="1417" t="s">
        <v>825</v>
      </c>
      <c r="C385" s="1451" t="s">
        <v>827</v>
      </c>
      <c r="D385" s="1388" t="s">
        <v>946</v>
      </c>
      <c r="E385" s="1389">
        <v>384</v>
      </c>
      <c r="F385" s="1402">
        <v>7.1</v>
      </c>
      <c r="G385" s="1401" t="s">
        <v>825</v>
      </c>
      <c r="H385" s="1454" t="s">
        <v>826</v>
      </c>
      <c r="I385" s="714" t="s">
        <v>951</v>
      </c>
      <c r="J385" s="1395" t="s">
        <v>828</v>
      </c>
    </row>
    <row r="386" spans="1:10" x14ac:dyDescent="0.25">
      <c r="A386" s="1421">
        <v>7.17</v>
      </c>
      <c r="B386" s="1422" t="s">
        <v>889</v>
      </c>
      <c r="C386" s="1451" t="s">
        <v>827</v>
      </c>
      <c r="D386" s="1388" t="s">
        <v>946</v>
      </c>
      <c r="E386" s="1389">
        <v>385</v>
      </c>
      <c r="F386" s="1390" t="s">
        <v>773</v>
      </c>
      <c r="G386" s="1394" t="s">
        <v>931</v>
      </c>
      <c r="H386" s="1454" t="s">
        <v>826</v>
      </c>
      <c r="I386" s="714" t="s">
        <v>951</v>
      </c>
      <c r="J386" s="1395" t="s">
        <v>864</v>
      </c>
    </row>
    <row r="387" spans="1:10" x14ac:dyDescent="0.25">
      <c r="A387" s="1414" t="s">
        <v>941</v>
      </c>
      <c r="B387" s="1415" t="s">
        <v>825</v>
      </c>
      <c r="C387" s="1451" t="s">
        <v>827</v>
      </c>
      <c r="D387" s="1388" t="s">
        <v>946</v>
      </c>
      <c r="E387" s="1389">
        <v>386</v>
      </c>
      <c r="F387" s="1390" t="s">
        <v>775</v>
      </c>
      <c r="G387" s="1394" t="s">
        <v>933</v>
      </c>
      <c r="H387" s="1454" t="s">
        <v>826</v>
      </c>
      <c r="I387" s="714" t="s">
        <v>951</v>
      </c>
      <c r="J387" s="1395" t="s">
        <v>934</v>
      </c>
    </row>
    <row r="388" spans="1:10" x14ac:dyDescent="0.25">
      <c r="A388" s="1418" t="s">
        <v>942</v>
      </c>
      <c r="B388" s="1417" t="s">
        <v>825</v>
      </c>
      <c r="C388" s="1451" t="s">
        <v>827</v>
      </c>
      <c r="D388" s="1388" t="s">
        <v>946</v>
      </c>
      <c r="E388" s="1389">
        <v>387</v>
      </c>
      <c r="F388" s="1390" t="s">
        <v>776</v>
      </c>
      <c r="G388" s="1394" t="s">
        <v>825</v>
      </c>
      <c r="H388" s="1454" t="s">
        <v>826</v>
      </c>
      <c r="I388" s="714" t="s">
        <v>951</v>
      </c>
      <c r="J388" s="1395" t="s">
        <v>828</v>
      </c>
    </row>
    <row r="389" spans="1:10" x14ac:dyDescent="0.25">
      <c r="A389" s="1418" t="s">
        <v>943</v>
      </c>
      <c r="B389" s="1417" t="s">
        <v>825</v>
      </c>
      <c r="C389" s="1451" t="s">
        <v>827</v>
      </c>
      <c r="D389" s="1388" t="s">
        <v>946</v>
      </c>
      <c r="E389" s="1389">
        <v>388</v>
      </c>
      <c r="F389" s="1390" t="s">
        <v>778</v>
      </c>
      <c r="G389" s="1401" t="s">
        <v>548</v>
      </c>
      <c r="H389" s="1454" t="s">
        <v>826</v>
      </c>
      <c r="I389" s="714" t="s">
        <v>951</v>
      </c>
      <c r="J389" s="1395" t="s">
        <v>548</v>
      </c>
    </row>
    <row r="390" spans="1:10" x14ac:dyDescent="0.25">
      <c r="A390" s="1418" t="s">
        <v>944</v>
      </c>
      <c r="B390" s="1417" t="s">
        <v>889</v>
      </c>
      <c r="C390" s="1451" t="s">
        <v>827</v>
      </c>
      <c r="D390" s="1388" t="s">
        <v>946</v>
      </c>
      <c r="E390" s="1389">
        <v>389</v>
      </c>
      <c r="F390" s="1390" t="s">
        <v>779</v>
      </c>
      <c r="G390" s="1401" t="s">
        <v>548</v>
      </c>
      <c r="H390" s="1454" t="s">
        <v>826</v>
      </c>
      <c r="I390" s="714" t="s">
        <v>951</v>
      </c>
      <c r="J390" s="1395" t="s">
        <v>548</v>
      </c>
    </row>
    <row r="391" spans="1:10" x14ac:dyDescent="0.25">
      <c r="A391" s="1418" t="s">
        <v>945</v>
      </c>
      <c r="B391" s="1417" t="s">
        <v>834</v>
      </c>
      <c r="C391" s="1451" t="s">
        <v>827</v>
      </c>
      <c r="D391" s="1388" t="s">
        <v>946</v>
      </c>
      <c r="E391" s="1389">
        <v>390</v>
      </c>
      <c r="F391" s="1390" t="s">
        <v>781</v>
      </c>
      <c r="G391" s="1401" t="s">
        <v>841</v>
      </c>
      <c r="H391" s="1454" t="s">
        <v>826</v>
      </c>
      <c r="I391" s="714" t="s">
        <v>951</v>
      </c>
      <c r="J391" s="1395" t="s">
        <v>856</v>
      </c>
    </row>
    <row r="392" spans="1:10" x14ac:dyDescent="0.25">
      <c r="A392" s="1430">
        <v>1.1000000000000001</v>
      </c>
      <c r="B392" s="1431" t="s">
        <v>825</v>
      </c>
      <c r="C392" s="1451" t="s">
        <v>827</v>
      </c>
      <c r="D392" s="1388" t="s">
        <v>974</v>
      </c>
      <c r="E392" s="1389">
        <v>391</v>
      </c>
      <c r="F392" s="1402">
        <v>7.5</v>
      </c>
      <c r="G392" s="1401" t="s">
        <v>825</v>
      </c>
      <c r="H392" s="1454" t="s">
        <v>826</v>
      </c>
      <c r="I392" s="714" t="s">
        <v>951</v>
      </c>
      <c r="J392" s="1395" t="s">
        <v>828</v>
      </c>
    </row>
    <row r="393" spans="1:10" x14ac:dyDescent="0.25">
      <c r="A393" s="1396">
        <v>1.2</v>
      </c>
      <c r="B393" s="1397" t="s">
        <v>829</v>
      </c>
      <c r="C393" s="1451" t="s">
        <v>827</v>
      </c>
      <c r="D393" s="1388" t="s">
        <v>974</v>
      </c>
      <c r="E393" s="1389">
        <v>392</v>
      </c>
      <c r="F393" s="1402">
        <v>7.6</v>
      </c>
      <c r="G393" s="1401" t="s">
        <v>825</v>
      </c>
      <c r="H393" s="1454" t="s">
        <v>826</v>
      </c>
      <c r="I393" s="714" t="s">
        <v>951</v>
      </c>
      <c r="J393" s="1395" t="s">
        <v>828</v>
      </c>
    </row>
    <row r="394" spans="1:10" x14ac:dyDescent="0.25">
      <c r="A394" s="1398">
        <v>2.1</v>
      </c>
      <c r="B394" s="1393" t="s">
        <v>825</v>
      </c>
      <c r="C394" s="1451" t="s">
        <v>827</v>
      </c>
      <c r="D394" s="1388" t="s">
        <v>974</v>
      </c>
      <c r="E394" s="1389">
        <v>393</v>
      </c>
      <c r="F394" s="1402">
        <v>7.7</v>
      </c>
      <c r="G394" s="1401" t="s">
        <v>825</v>
      </c>
      <c r="H394" s="1454" t="s">
        <v>826</v>
      </c>
      <c r="I394" s="714" t="s">
        <v>951</v>
      </c>
      <c r="J394" s="1395" t="s">
        <v>828</v>
      </c>
    </row>
    <row r="395" spans="1:10" x14ac:dyDescent="0.25">
      <c r="A395" s="1399">
        <v>2.2000000000000002</v>
      </c>
      <c r="B395" s="1400" t="s">
        <v>548</v>
      </c>
      <c r="C395" s="1451" t="s">
        <v>827</v>
      </c>
      <c r="D395" s="1388" t="s">
        <v>974</v>
      </c>
      <c r="E395" s="1389">
        <v>394</v>
      </c>
      <c r="F395" s="1402">
        <v>7.8</v>
      </c>
      <c r="G395" s="1401" t="s">
        <v>825</v>
      </c>
      <c r="H395" s="1454" t="s">
        <v>826</v>
      </c>
      <c r="I395" s="714" t="s">
        <v>951</v>
      </c>
      <c r="J395" s="1395" t="s">
        <v>828</v>
      </c>
    </row>
    <row r="396" spans="1:10" x14ac:dyDescent="0.25">
      <c r="A396" s="1399">
        <v>2.2999999999999998</v>
      </c>
      <c r="B396" s="1400" t="s">
        <v>825</v>
      </c>
      <c r="C396" s="1451" t="s">
        <v>827</v>
      </c>
      <c r="D396" s="1388" t="s">
        <v>974</v>
      </c>
      <c r="E396" s="1389">
        <v>395</v>
      </c>
      <c r="F396" s="1402">
        <v>7.9</v>
      </c>
      <c r="G396" s="1401" t="s">
        <v>825</v>
      </c>
      <c r="H396" s="1454" t="s">
        <v>826</v>
      </c>
      <c r="I396" s="714" t="s">
        <v>951</v>
      </c>
      <c r="J396" s="1395" t="s">
        <v>828</v>
      </c>
    </row>
    <row r="397" spans="1:10" x14ac:dyDescent="0.25">
      <c r="A397" s="1399">
        <v>2.4</v>
      </c>
      <c r="B397" s="1400" t="s">
        <v>837</v>
      </c>
      <c r="C397" s="1451" t="s">
        <v>827</v>
      </c>
      <c r="D397" s="1388" t="s">
        <v>974</v>
      </c>
      <c r="E397" s="1389">
        <v>396</v>
      </c>
      <c r="F397" s="1406" t="s">
        <v>787</v>
      </c>
      <c r="G397" s="1401" t="s">
        <v>971</v>
      </c>
      <c r="H397" s="1454" t="s">
        <v>826</v>
      </c>
      <c r="I397" s="714" t="s">
        <v>951</v>
      </c>
      <c r="J397" s="1395" t="s">
        <v>864</v>
      </c>
    </row>
    <row r="398" spans="1:10" x14ac:dyDescent="0.25">
      <c r="A398" s="1399">
        <v>2.5</v>
      </c>
      <c r="B398" s="1400" t="s">
        <v>889</v>
      </c>
      <c r="C398" s="1451" t="s">
        <v>827</v>
      </c>
      <c r="D398" s="1388" t="s">
        <v>974</v>
      </c>
      <c r="E398" s="1389">
        <v>397</v>
      </c>
      <c r="F398" s="1402">
        <v>7.11</v>
      </c>
      <c r="G398" s="1401" t="s">
        <v>825</v>
      </c>
      <c r="H398" s="1454" t="s">
        <v>826</v>
      </c>
      <c r="I398" s="714" t="s">
        <v>951</v>
      </c>
      <c r="J398" s="1395" t="s">
        <v>828</v>
      </c>
    </row>
    <row r="399" spans="1:10" x14ac:dyDescent="0.25">
      <c r="A399" s="1399">
        <v>2.6</v>
      </c>
      <c r="B399" s="1400" t="s">
        <v>841</v>
      </c>
      <c r="C399" s="1451" t="s">
        <v>827</v>
      </c>
      <c r="D399" s="1388" t="s">
        <v>974</v>
      </c>
      <c r="E399" s="1389">
        <v>398</v>
      </c>
      <c r="F399" s="1402">
        <v>7.12</v>
      </c>
      <c r="G399" s="1401" t="s">
        <v>825</v>
      </c>
      <c r="H399" s="1454" t="s">
        <v>826</v>
      </c>
      <c r="I399" s="714" t="s">
        <v>951</v>
      </c>
      <c r="J399" s="1395" t="s">
        <v>828</v>
      </c>
    </row>
    <row r="400" spans="1:10" x14ac:dyDescent="0.25">
      <c r="A400" s="1403" t="s">
        <v>842</v>
      </c>
      <c r="B400" s="1400" t="s">
        <v>825</v>
      </c>
      <c r="C400" s="1451" t="s">
        <v>827</v>
      </c>
      <c r="D400" s="1388" t="s">
        <v>974</v>
      </c>
      <c r="E400" s="1389">
        <v>399</v>
      </c>
      <c r="F400" s="1390" t="s">
        <v>791</v>
      </c>
      <c r="G400" s="1401" t="s">
        <v>548</v>
      </c>
      <c r="H400" s="1454" t="s">
        <v>826</v>
      </c>
      <c r="I400" s="714" t="s">
        <v>951</v>
      </c>
      <c r="J400" s="1395" t="s">
        <v>548</v>
      </c>
    </row>
    <row r="401" spans="1:10" x14ac:dyDescent="0.25">
      <c r="A401" s="1399" t="s">
        <v>843</v>
      </c>
      <c r="B401" s="1400" t="s">
        <v>978</v>
      </c>
      <c r="C401" s="1451" t="s">
        <v>827</v>
      </c>
      <c r="D401" s="1388" t="s">
        <v>974</v>
      </c>
      <c r="E401" s="1389">
        <v>400</v>
      </c>
      <c r="F401" s="1390" t="s">
        <v>793</v>
      </c>
      <c r="G401" s="1401" t="s">
        <v>972</v>
      </c>
      <c r="H401" s="1454" t="s">
        <v>826</v>
      </c>
      <c r="I401" s="714" t="s">
        <v>951</v>
      </c>
      <c r="J401" s="1395" t="s">
        <v>973</v>
      </c>
    </row>
    <row r="402" spans="1:10" x14ac:dyDescent="0.25">
      <c r="A402" s="1399">
        <v>2.8</v>
      </c>
      <c r="B402" s="1400" t="s">
        <v>846</v>
      </c>
      <c r="C402" s="1451" t="s">
        <v>827</v>
      </c>
      <c r="D402" s="1388" t="s">
        <v>974</v>
      </c>
      <c r="E402" s="1389">
        <v>401</v>
      </c>
      <c r="F402" s="1402">
        <v>7.14</v>
      </c>
      <c r="G402" s="1401" t="s">
        <v>825</v>
      </c>
      <c r="H402" s="1454" t="s">
        <v>826</v>
      </c>
      <c r="I402" s="714" t="s">
        <v>951</v>
      </c>
      <c r="J402" s="1395" t="s">
        <v>828</v>
      </c>
    </row>
    <row r="403" spans="1:10" x14ac:dyDescent="0.25">
      <c r="A403" s="1399">
        <v>2.9</v>
      </c>
      <c r="B403" s="1400" t="s">
        <v>849</v>
      </c>
      <c r="C403" s="1451" t="s">
        <v>827</v>
      </c>
      <c r="D403" s="1388" t="s">
        <v>974</v>
      </c>
      <c r="E403" s="1389">
        <v>402</v>
      </c>
      <c r="F403" s="1402">
        <v>7.15</v>
      </c>
      <c r="G403" s="1401" t="s">
        <v>825</v>
      </c>
      <c r="H403" s="1454" t="s">
        <v>826</v>
      </c>
      <c r="I403" s="714" t="s">
        <v>951</v>
      </c>
      <c r="J403" s="1395" t="s">
        <v>828</v>
      </c>
    </row>
    <row r="404" spans="1:10" x14ac:dyDescent="0.25">
      <c r="A404" s="1404" t="s">
        <v>708</v>
      </c>
      <c r="B404" s="1397" t="s">
        <v>841</v>
      </c>
      <c r="C404" s="1451" t="s">
        <v>827</v>
      </c>
      <c r="D404" s="1388" t="s">
        <v>974</v>
      </c>
      <c r="E404" s="1389">
        <v>403</v>
      </c>
      <c r="F404" s="1402">
        <v>7.16</v>
      </c>
      <c r="G404" s="1401" t="s">
        <v>825</v>
      </c>
      <c r="H404" s="1454" t="s">
        <v>826</v>
      </c>
      <c r="I404" s="714" t="s">
        <v>951</v>
      </c>
      <c r="J404" s="1395" t="s">
        <v>828</v>
      </c>
    </row>
    <row r="405" spans="1:10" x14ac:dyDescent="0.25">
      <c r="A405" s="1398" t="s">
        <v>850</v>
      </c>
      <c r="B405" s="1393" t="s">
        <v>825</v>
      </c>
      <c r="C405" s="1451" t="s">
        <v>827</v>
      </c>
      <c r="D405" s="1388" t="s">
        <v>974</v>
      </c>
      <c r="E405" s="1389">
        <v>404</v>
      </c>
      <c r="F405" s="1402">
        <v>7.17</v>
      </c>
      <c r="G405" s="1401" t="s">
        <v>825</v>
      </c>
      <c r="H405" s="1454" t="s">
        <v>826</v>
      </c>
      <c r="I405" s="714" t="s">
        <v>951</v>
      </c>
      <c r="J405" s="1395" t="s">
        <v>828</v>
      </c>
    </row>
    <row r="406" spans="1:10" x14ac:dyDescent="0.25">
      <c r="A406" s="1399" t="s">
        <v>853</v>
      </c>
      <c r="B406" s="1400" t="s">
        <v>825</v>
      </c>
      <c r="C406" s="1451" t="s">
        <v>827</v>
      </c>
      <c r="D406" s="1388" t="s">
        <v>974</v>
      </c>
      <c r="E406" s="1389">
        <v>405</v>
      </c>
      <c r="F406" s="1390" t="s">
        <v>800</v>
      </c>
      <c r="G406" s="1401" t="s">
        <v>825</v>
      </c>
      <c r="H406" s="1454" t="s">
        <v>826</v>
      </c>
      <c r="I406" s="714" t="s">
        <v>951</v>
      </c>
      <c r="J406" s="1395" t="s">
        <v>828</v>
      </c>
    </row>
    <row r="407" spans="1:10" x14ac:dyDescent="0.25">
      <c r="A407" s="1399" t="s">
        <v>714</v>
      </c>
      <c r="B407" s="1405" t="s">
        <v>855</v>
      </c>
      <c r="C407" s="1451" t="s">
        <v>827</v>
      </c>
      <c r="D407" s="1388" t="s">
        <v>974</v>
      </c>
      <c r="E407" s="1389">
        <v>406</v>
      </c>
      <c r="F407" s="1390" t="s">
        <v>802</v>
      </c>
      <c r="G407" s="1394" t="s">
        <v>889</v>
      </c>
      <c r="H407" s="1454" t="s">
        <v>826</v>
      </c>
      <c r="I407" s="714" t="s">
        <v>951</v>
      </c>
      <c r="J407" s="1395" t="s">
        <v>890</v>
      </c>
    </row>
    <row r="408" spans="1:10" x14ac:dyDescent="0.25">
      <c r="A408" s="1399" t="s">
        <v>715</v>
      </c>
      <c r="B408" s="1400" t="s">
        <v>837</v>
      </c>
      <c r="C408" s="1451" t="s">
        <v>827</v>
      </c>
      <c r="D408" s="1388" t="s">
        <v>974</v>
      </c>
      <c r="E408" s="1389">
        <v>407</v>
      </c>
      <c r="F408" s="1402">
        <v>8.1999999999999993</v>
      </c>
      <c r="G408" s="1401" t="s">
        <v>947</v>
      </c>
      <c r="H408" s="1454" t="s">
        <v>826</v>
      </c>
      <c r="I408" s="714" t="s">
        <v>951</v>
      </c>
      <c r="J408" s="1395" t="s">
        <v>948</v>
      </c>
    </row>
    <row r="409" spans="1:10" x14ac:dyDescent="0.25">
      <c r="A409" s="1399" t="s">
        <v>716</v>
      </c>
      <c r="B409" s="1400" t="s">
        <v>857</v>
      </c>
      <c r="C409" s="1451" t="s">
        <v>827</v>
      </c>
      <c r="D409" s="1388" t="s">
        <v>974</v>
      </c>
      <c r="E409" s="1389">
        <v>408</v>
      </c>
      <c r="F409" s="1402">
        <v>8.3000000000000007</v>
      </c>
      <c r="G409" s="1401" t="s">
        <v>825</v>
      </c>
      <c r="H409" s="1454" t="s">
        <v>826</v>
      </c>
      <c r="I409" s="714" t="s">
        <v>951</v>
      </c>
      <c r="J409" s="1395" t="s">
        <v>828</v>
      </c>
    </row>
    <row r="410" spans="1:10" x14ac:dyDescent="0.25">
      <c r="A410" s="1399" t="s">
        <v>858</v>
      </c>
      <c r="B410" s="1405" t="s">
        <v>859</v>
      </c>
      <c r="C410" s="1451" t="s">
        <v>827</v>
      </c>
      <c r="D410" s="1388" t="s">
        <v>974</v>
      </c>
      <c r="E410" s="1389">
        <v>409</v>
      </c>
      <c r="F410" s="1402">
        <v>8.4</v>
      </c>
      <c r="G410" s="1401" t="s">
        <v>949</v>
      </c>
      <c r="H410" s="1454" t="s">
        <v>826</v>
      </c>
      <c r="I410" s="714" t="s">
        <v>951</v>
      </c>
      <c r="J410" s="1395" t="s">
        <v>950</v>
      </c>
    </row>
    <row r="411" spans="1:10" ht="15.75" thickBot="1" x14ac:dyDescent="0.3">
      <c r="A411" s="1399" t="s">
        <v>860</v>
      </c>
      <c r="B411" s="1400" t="s">
        <v>861</v>
      </c>
      <c r="C411" s="1451" t="s">
        <v>827</v>
      </c>
      <c r="D411" s="1388" t="s">
        <v>974</v>
      </c>
      <c r="E411" s="1389">
        <v>410</v>
      </c>
      <c r="F411" s="1435">
        <v>8.5</v>
      </c>
      <c r="G411" s="1401" t="s">
        <v>825</v>
      </c>
      <c r="H411" s="1436" t="s">
        <v>826</v>
      </c>
      <c r="I411" s="714" t="s">
        <v>951</v>
      </c>
      <c r="J411" s="1438" t="s">
        <v>828</v>
      </c>
    </row>
    <row r="412" spans="1:10" ht="15.75" thickTop="1" x14ac:dyDescent="0.25">
      <c r="A412" s="1399" t="s">
        <v>865</v>
      </c>
      <c r="B412" s="1397" t="s">
        <v>825</v>
      </c>
      <c r="C412" s="1451" t="s">
        <v>827</v>
      </c>
      <c r="D412" s="1388" t="s">
        <v>974</v>
      </c>
      <c r="E412" s="1389">
        <v>411</v>
      </c>
      <c r="F412" s="1390" t="s">
        <v>684</v>
      </c>
      <c r="G412" s="1401" t="s">
        <v>825</v>
      </c>
      <c r="H412" s="1454" t="s">
        <v>826</v>
      </c>
      <c r="I412" s="714" t="s">
        <v>975</v>
      </c>
      <c r="J412" s="1395" t="s">
        <v>828</v>
      </c>
    </row>
    <row r="413" spans="1:10" x14ac:dyDescent="0.25">
      <c r="A413" s="1408" t="s">
        <v>867</v>
      </c>
      <c r="B413" s="1409" t="s">
        <v>825</v>
      </c>
      <c r="C413" s="1451" t="s">
        <v>827</v>
      </c>
      <c r="D413" s="1388" t="s">
        <v>974</v>
      </c>
      <c r="E413" s="1389">
        <v>412</v>
      </c>
      <c r="F413" s="1390" t="s">
        <v>686</v>
      </c>
      <c r="G413" s="1394" t="s">
        <v>830</v>
      </c>
      <c r="H413" s="1454" t="s">
        <v>826</v>
      </c>
      <c r="I413" s="714" t="s">
        <v>975</v>
      </c>
      <c r="J413" s="1395" t="s">
        <v>831</v>
      </c>
    </row>
    <row r="414" spans="1:10" x14ac:dyDescent="0.25">
      <c r="A414" s="1410" t="s">
        <v>871</v>
      </c>
      <c r="B414" s="1411" t="s">
        <v>861</v>
      </c>
      <c r="C414" s="1451" t="s">
        <v>827</v>
      </c>
      <c r="D414" s="1388" t="s">
        <v>974</v>
      </c>
      <c r="E414" s="1389">
        <v>413</v>
      </c>
      <c r="F414" s="1402">
        <v>1.2</v>
      </c>
      <c r="G414" s="1401" t="s">
        <v>952</v>
      </c>
      <c r="H414" s="1454" t="s">
        <v>826</v>
      </c>
      <c r="I414" s="714" t="s">
        <v>975</v>
      </c>
      <c r="J414" s="1395" t="s">
        <v>833</v>
      </c>
    </row>
    <row r="415" spans="1:10" x14ac:dyDescent="0.25">
      <c r="A415" s="1410" t="s">
        <v>873</v>
      </c>
      <c r="B415" s="1413" t="s">
        <v>874</v>
      </c>
      <c r="C415" s="1451" t="s">
        <v>827</v>
      </c>
      <c r="D415" s="1388" t="s">
        <v>974</v>
      </c>
      <c r="E415" s="1389">
        <v>414</v>
      </c>
      <c r="F415" s="1390" t="s">
        <v>689</v>
      </c>
      <c r="G415" s="1401" t="s">
        <v>825</v>
      </c>
      <c r="H415" s="1454" t="s">
        <v>826</v>
      </c>
      <c r="I415" s="714" t="s">
        <v>975</v>
      </c>
      <c r="J415" s="1395" t="s">
        <v>828</v>
      </c>
    </row>
    <row r="416" spans="1:10" x14ac:dyDescent="0.25">
      <c r="A416" s="1414" t="s">
        <v>877</v>
      </c>
      <c r="B416" s="1415" t="s">
        <v>548</v>
      </c>
      <c r="C416" s="1451" t="s">
        <v>827</v>
      </c>
      <c r="D416" s="1388" t="s">
        <v>974</v>
      </c>
      <c r="E416" s="1389">
        <v>415</v>
      </c>
      <c r="F416" s="1390" t="s">
        <v>691</v>
      </c>
      <c r="G416" s="1401" t="s">
        <v>835</v>
      </c>
      <c r="H416" s="1454" t="s">
        <v>826</v>
      </c>
      <c r="I416" s="714" t="s">
        <v>975</v>
      </c>
      <c r="J416" s="1395" t="s">
        <v>836</v>
      </c>
    </row>
    <row r="417" spans="1:10" x14ac:dyDescent="0.25">
      <c r="A417" s="1416" t="s">
        <v>878</v>
      </c>
      <c r="B417" s="1417" t="s">
        <v>825</v>
      </c>
      <c r="C417" s="1451" t="s">
        <v>827</v>
      </c>
      <c r="D417" s="1388" t="s">
        <v>974</v>
      </c>
      <c r="E417" s="1389">
        <v>416</v>
      </c>
      <c r="F417" s="1402">
        <v>1.4</v>
      </c>
      <c r="G417" s="1401" t="s">
        <v>838</v>
      </c>
      <c r="H417" s="1454" t="s">
        <v>826</v>
      </c>
      <c r="I417" s="714" t="s">
        <v>975</v>
      </c>
      <c r="J417" s="1395" t="s">
        <v>839</v>
      </c>
    </row>
    <row r="418" spans="1:10" x14ac:dyDescent="0.25">
      <c r="A418" s="1418" t="s">
        <v>879</v>
      </c>
      <c r="B418" s="1417" t="s">
        <v>548</v>
      </c>
      <c r="C418" s="1451" t="s">
        <v>827</v>
      </c>
      <c r="D418" s="1388" t="s">
        <v>974</v>
      </c>
      <c r="E418" s="1389">
        <v>417</v>
      </c>
      <c r="F418" s="1402">
        <v>2.1</v>
      </c>
      <c r="G418" s="1401" t="s">
        <v>825</v>
      </c>
      <c r="H418" s="1454" t="s">
        <v>826</v>
      </c>
      <c r="I418" s="714" t="s">
        <v>975</v>
      </c>
      <c r="J418" s="1395" t="s">
        <v>828</v>
      </c>
    </row>
    <row r="419" spans="1:10" x14ac:dyDescent="0.25">
      <c r="A419" s="1416" t="s">
        <v>883</v>
      </c>
      <c r="B419" s="1417" t="s">
        <v>837</v>
      </c>
      <c r="C419" s="1451" t="s">
        <v>827</v>
      </c>
      <c r="D419" s="1388" t="s">
        <v>974</v>
      </c>
      <c r="E419" s="1389">
        <v>418</v>
      </c>
      <c r="F419" s="1402">
        <v>2.2000000000000002</v>
      </c>
      <c r="G419" s="1401" t="s">
        <v>548</v>
      </c>
      <c r="H419" s="1454" t="s">
        <v>826</v>
      </c>
      <c r="I419" s="714" t="s">
        <v>975</v>
      </c>
      <c r="J419" s="1395" t="s">
        <v>548</v>
      </c>
    </row>
    <row r="420" spans="1:10" x14ac:dyDescent="0.25">
      <c r="A420" s="1418" t="s">
        <v>884</v>
      </c>
      <c r="B420" s="1417" t="s">
        <v>825</v>
      </c>
      <c r="C420" s="1451" t="s">
        <v>827</v>
      </c>
      <c r="D420" s="1388" t="s">
        <v>974</v>
      </c>
      <c r="E420" s="1389">
        <v>419</v>
      </c>
      <c r="F420" s="1402">
        <v>2.2999999999999998</v>
      </c>
      <c r="G420" s="1401" t="s">
        <v>825</v>
      </c>
      <c r="H420" s="1454" t="s">
        <v>826</v>
      </c>
      <c r="I420" s="714" t="s">
        <v>975</v>
      </c>
      <c r="J420" s="1395" t="s">
        <v>828</v>
      </c>
    </row>
    <row r="421" spans="1:10" x14ac:dyDescent="0.25">
      <c r="A421" s="1418" t="s">
        <v>887</v>
      </c>
      <c r="B421" s="1419" t="s">
        <v>888</v>
      </c>
      <c r="C421" s="1451" t="s">
        <v>827</v>
      </c>
      <c r="D421" s="1388" t="s">
        <v>974</v>
      </c>
      <c r="E421" s="1389">
        <v>420</v>
      </c>
      <c r="F421" s="1402">
        <v>2.4</v>
      </c>
      <c r="G421" s="1394" t="s">
        <v>837</v>
      </c>
      <c r="H421" s="1454" t="s">
        <v>826</v>
      </c>
      <c r="I421" s="714" t="s">
        <v>975</v>
      </c>
      <c r="J421" s="1395" t="s">
        <v>845</v>
      </c>
    </row>
    <row r="422" spans="1:10" x14ac:dyDescent="0.25">
      <c r="A422" s="1418" t="s">
        <v>891</v>
      </c>
      <c r="B422" s="1417" t="s">
        <v>841</v>
      </c>
      <c r="C422" s="1451" t="s">
        <v>827</v>
      </c>
      <c r="D422" s="1388" t="s">
        <v>974</v>
      </c>
      <c r="E422" s="1389">
        <v>421</v>
      </c>
      <c r="F422" s="1402">
        <v>2.5</v>
      </c>
      <c r="G422" s="1394" t="s">
        <v>847</v>
      </c>
      <c r="H422" s="1454" t="s">
        <v>826</v>
      </c>
      <c r="I422" s="714" t="s">
        <v>975</v>
      </c>
      <c r="J422" s="1395" t="s">
        <v>848</v>
      </c>
    </row>
    <row r="423" spans="1:10" x14ac:dyDescent="0.25">
      <c r="A423" s="1418" t="s">
        <v>892</v>
      </c>
      <c r="B423" s="1417" t="s">
        <v>825</v>
      </c>
      <c r="C423" s="1451" t="s">
        <v>827</v>
      </c>
      <c r="D423" s="1388" t="s">
        <v>974</v>
      </c>
      <c r="E423" s="1389">
        <v>422</v>
      </c>
      <c r="F423" s="1402">
        <v>2.6</v>
      </c>
      <c r="G423" s="1401" t="s">
        <v>825</v>
      </c>
      <c r="H423" s="1454" t="s">
        <v>826</v>
      </c>
      <c r="I423" s="714" t="s">
        <v>975</v>
      </c>
      <c r="J423" s="1395" t="s">
        <v>828</v>
      </c>
    </row>
    <row r="424" spans="1:10" x14ac:dyDescent="0.25">
      <c r="A424" s="1418" t="s">
        <v>893</v>
      </c>
      <c r="B424" s="1417" t="s">
        <v>548</v>
      </c>
      <c r="C424" s="1451" t="s">
        <v>827</v>
      </c>
      <c r="D424" s="1388" t="s">
        <v>974</v>
      </c>
      <c r="E424" s="1389">
        <v>423</v>
      </c>
      <c r="F424" s="1390" t="s">
        <v>702</v>
      </c>
      <c r="G424" s="1401" t="s">
        <v>548</v>
      </c>
      <c r="H424" s="1454" t="s">
        <v>826</v>
      </c>
      <c r="I424" s="714" t="s">
        <v>975</v>
      </c>
      <c r="J424" s="1395" t="s">
        <v>548</v>
      </c>
    </row>
    <row r="425" spans="1:10" x14ac:dyDescent="0.25">
      <c r="A425" s="1416" t="s">
        <v>896</v>
      </c>
      <c r="B425" s="1417" t="s">
        <v>834</v>
      </c>
      <c r="C425" s="1451" t="s">
        <v>827</v>
      </c>
      <c r="D425" s="1388" t="s">
        <v>974</v>
      </c>
      <c r="E425" s="1389">
        <v>424</v>
      </c>
      <c r="F425" s="1390" t="s">
        <v>704</v>
      </c>
      <c r="G425" s="1401" t="s">
        <v>979</v>
      </c>
      <c r="H425" s="1454" t="s">
        <v>826</v>
      </c>
      <c r="I425" s="714" t="s">
        <v>975</v>
      </c>
      <c r="J425" s="1395" t="s">
        <v>980</v>
      </c>
    </row>
    <row r="426" spans="1:10" x14ac:dyDescent="0.25">
      <c r="A426" s="1418" t="s">
        <v>897</v>
      </c>
      <c r="B426" s="1417" t="s">
        <v>898</v>
      </c>
      <c r="C426" s="1451" t="s">
        <v>827</v>
      </c>
      <c r="D426" s="1388" t="s">
        <v>974</v>
      </c>
      <c r="E426" s="1389">
        <v>425</v>
      </c>
      <c r="F426" s="1402">
        <v>2.8</v>
      </c>
      <c r="G426" s="1401" t="s">
        <v>954</v>
      </c>
      <c r="H426" s="1454" t="s">
        <v>826</v>
      </c>
      <c r="I426" s="714" t="s">
        <v>975</v>
      </c>
      <c r="J426" s="1395" t="s">
        <v>955</v>
      </c>
    </row>
    <row r="427" spans="1:10" x14ac:dyDescent="0.25">
      <c r="A427" s="1418" t="s">
        <v>901</v>
      </c>
      <c r="B427" s="1417" t="s">
        <v>902</v>
      </c>
      <c r="C427" s="1451" t="s">
        <v>827</v>
      </c>
      <c r="D427" s="1388" t="s">
        <v>974</v>
      </c>
      <c r="E427" s="1389">
        <v>426</v>
      </c>
      <c r="F427" s="1402">
        <v>2.9</v>
      </c>
      <c r="G427" s="1401" t="s">
        <v>837</v>
      </c>
      <c r="H427" s="1454" t="s">
        <v>826</v>
      </c>
      <c r="I427" s="714" t="s">
        <v>975</v>
      </c>
      <c r="J427" s="1395" t="s">
        <v>845</v>
      </c>
    </row>
    <row r="428" spans="1:10" x14ac:dyDescent="0.25">
      <c r="A428" s="1418" t="s">
        <v>904</v>
      </c>
      <c r="B428" s="1417" t="s">
        <v>905</v>
      </c>
      <c r="C428" s="1451" t="s">
        <v>827</v>
      </c>
      <c r="D428" s="1388" t="s">
        <v>974</v>
      </c>
      <c r="E428" s="1389">
        <v>427</v>
      </c>
      <c r="F428" s="1406" t="s">
        <v>708</v>
      </c>
      <c r="G428" s="1401" t="s">
        <v>841</v>
      </c>
      <c r="H428" s="1454" t="s">
        <v>826</v>
      </c>
      <c r="I428" s="714" t="s">
        <v>975</v>
      </c>
      <c r="J428" s="1395" t="s">
        <v>856</v>
      </c>
    </row>
    <row r="429" spans="1:10" x14ac:dyDescent="0.25">
      <c r="A429" s="1418" t="s">
        <v>906</v>
      </c>
      <c r="B429" s="1417" t="s">
        <v>825</v>
      </c>
      <c r="C429" s="1451" t="s">
        <v>827</v>
      </c>
      <c r="D429" s="1388" t="s">
        <v>974</v>
      </c>
      <c r="E429" s="1389">
        <v>428</v>
      </c>
      <c r="F429" s="1402">
        <v>3.1</v>
      </c>
      <c r="G429" s="1401" t="s">
        <v>825</v>
      </c>
      <c r="H429" s="1454" t="s">
        <v>826</v>
      </c>
      <c r="I429" s="714" t="s">
        <v>975</v>
      </c>
      <c r="J429" s="1395" t="s">
        <v>828</v>
      </c>
    </row>
    <row r="430" spans="1:10" x14ac:dyDescent="0.25">
      <c r="A430" s="1418" t="s">
        <v>755</v>
      </c>
      <c r="B430" s="1417" t="s">
        <v>907</v>
      </c>
      <c r="C430" s="1451" t="s">
        <v>827</v>
      </c>
      <c r="D430" s="1388" t="s">
        <v>974</v>
      </c>
      <c r="E430" s="1389">
        <v>429</v>
      </c>
      <c r="F430" s="1402">
        <v>3.2</v>
      </c>
      <c r="G430" s="1401" t="s">
        <v>825</v>
      </c>
      <c r="H430" s="1454" t="s">
        <v>826</v>
      </c>
      <c r="I430" s="714" t="s">
        <v>975</v>
      </c>
      <c r="J430" s="1395" t="s">
        <v>828</v>
      </c>
    </row>
    <row r="431" spans="1:10" x14ac:dyDescent="0.25">
      <c r="A431" s="1418">
        <v>5.1100000000000003</v>
      </c>
      <c r="B431" s="1417" t="s">
        <v>958</v>
      </c>
      <c r="C431" s="1451" t="s">
        <v>827</v>
      </c>
      <c r="D431" s="1388" t="s">
        <v>974</v>
      </c>
      <c r="E431" s="1389">
        <v>430</v>
      </c>
      <c r="F431" s="1390" t="s">
        <v>862</v>
      </c>
      <c r="G431" s="1394" t="s">
        <v>863</v>
      </c>
      <c r="H431" s="1454" t="s">
        <v>826</v>
      </c>
      <c r="I431" s="714" t="s">
        <v>975</v>
      </c>
      <c r="J431" s="1395" t="s">
        <v>864</v>
      </c>
    </row>
    <row r="432" spans="1:10" x14ac:dyDescent="0.25">
      <c r="A432" s="1418">
        <v>5.12</v>
      </c>
      <c r="B432" s="1417" t="s">
        <v>849</v>
      </c>
      <c r="C432" s="1451" t="s">
        <v>827</v>
      </c>
      <c r="D432" s="1388" t="s">
        <v>974</v>
      </c>
      <c r="E432" s="1389">
        <v>431</v>
      </c>
      <c r="F432" s="1390" t="s">
        <v>866</v>
      </c>
      <c r="G432" s="1394" t="s">
        <v>837</v>
      </c>
      <c r="H432" s="1454" t="s">
        <v>826</v>
      </c>
      <c r="I432" s="714" t="s">
        <v>975</v>
      </c>
      <c r="J432" s="1395" t="s">
        <v>845</v>
      </c>
    </row>
    <row r="433" spans="1:10" x14ac:dyDescent="0.25">
      <c r="A433" s="1421">
        <v>5.13</v>
      </c>
      <c r="B433" s="1422" t="s">
        <v>959</v>
      </c>
      <c r="C433" s="1451" t="s">
        <v>827</v>
      </c>
      <c r="D433" s="1388" t="s">
        <v>974</v>
      </c>
      <c r="E433" s="1389">
        <v>432</v>
      </c>
      <c r="F433" s="1390" t="s">
        <v>868</v>
      </c>
      <c r="G433" s="1401" t="s">
        <v>869</v>
      </c>
      <c r="H433" s="1454" t="s">
        <v>826</v>
      </c>
      <c r="I433" s="714" t="s">
        <v>975</v>
      </c>
      <c r="J433" s="1395" t="s">
        <v>870</v>
      </c>
    </row>
    <row r="434" spans="1:10" x14ac:dyDescent="0.25">
      <c r="A434" s="1414" t="s">
        <v>909</v>
      </c>
      <c r="B434" s="1415" t="s">
        <v>825</v>
      </c>
      <c r="C434" s="1451" t="s">
        <v>827</v>
      </c>
      <c r="D434" s="1388" t="s">
        <v>974</v>
      </c>
      <c r="E434" s="1389">
        <v>433</v>
      </c>
      <c r="F434" s="1402">
        <v>3.4</v>
      </c>
      <c r="G434" s="1401" t="s">
        <v>872</v>
      </c>
      <c r="H434" s="1454" t="s">
        <v>826</v>
      </c>
      <c r="I434" s="714" t="s">
        <v>975</v>
      </c>
      <c r="J434" s="1395" t="s">
        <v>864</v>
      </c>
    </row>
    <row r="435" spans="1:10" x14ac:dyDescent="0.25">
      <c r="A435" s="1418" t="s">
        <v>910</v>
      </c>
      <c r="B435" s="1417" t="s">
        <v>825</v>
      </c>
      <c r="C435" s="1451" t="s">
        <v>827</v>
      </c>
      <c r="D435" s="1388" t="s">
        <v>974</v>
      </c>
      <c r="E435" s="1389">
        <v>434</v>
      </c>
      <c r="F435" s="1402">
        <v>3.5</v>
      </c>
      <c r="G435" s="1394" t="s">
        <v>875</v>
      </c>
      <c r="H435" s="1454" t="s">
        <v>826</v>
      </c>
      <c r="I435" s="714" t="s">
        <v>975</v>
      </c>
      <c r="J435" s="1395" t="s">
        <v>876</v>
      </c>
    </row>
    <row r="436" spans="1:10" x14ac:dyDescent="0.25">
      <c r="A436" s="1418" t="s">
        <v>911</v>
      </c>
      <c r="B436" s="1417" t="s">
        <v>857</v>
      </c>
      <c r="C436" s="1451" t="s">
        <v>827</v>
      </c>
      <c r="D436" s="1388" t="s">
        <v>974</v>
      </c>
      <c r="E436" s="1389">
        <v>435</v>
      </c>
      <c r="F436" s="1402">
        <v>3.6</v>
      </c>
      <c r="G436" s="1401" t="s">
        <v>825</v>
      </c>
      <c r="H436" s="1454" t="s">
        <v>826</v>
      </c>
      <c r="I436" s="714" t="s">
        <v>975</v>
      </c>
      <c r="J436" s="1395" t="s">
        <v>828</v>
      </c>
    </row>
    <row r="437" spans="1:10" x14ac:dyDescent="0.25">
      <c r="A437" s="1418" t="s">
        <v>912</v>
      </c>
      <c r="B437" s="1417" t="s">
        <v>913</v>
      </c>
      <c r="C437" s="1451" t="s">
        <v>827</v>
      </c>
      <c r="D437" s="1388" t="s">
        <v>974</v>
      </c>
      <c r="E437" s="1389">
        <v>436</v>
      </c>
      <c r="F437" s="1390" t="s">
        <v>723</v>
      </c>
      <c r="G437" s="1401" t="s">
        <v>825</v>
      </c>
      <c r="H437" s="1454" t="s">
        <v>826</v>
      </c>
      <c r="I437" s="714" t="s">
        <v>975</v>
      </c>
      <c r="J437" s="1395" t="s">
        <v>828</v>
      </c>
    </row>
    <row r="438" spans="1:10" x14ac:dyDescent="0.25">
      <c r="A438" s="1418" t="s">
        <v>914</v>
      </c>
      <c r="B438" s="1417" t="s">
        <v>857</v>
      </c>
      <c r="C438" s="1451" t="s">
        <v>827</v>
      </c>
      <c r="D438" s="1388" t="s">
        <v>974</v>
      </c>
      <c r="E438" s="1389">
        <v>437</v>
      </c>
      <c r="F438" s="1390" t="s">
        <v>725</v>
      </c>
      <c r="G438" s="1401" t="s">
        <v>957</v>
      </c>
      <c r="H438" s="1454" t="s">
        <v>826</v>
      </c>
      <c r="I438" s="714" t="s">
        <v>975</v>
      </c>
      <c r="J438" s="1395" t="s">
        <v>882</v>
      </c>
    </row>
    <row r="439" spans="1:10" x14ac:dyDescent="0.25">
      <c r="A439" s="1418" t="s">
        <v>915</v>
      </c>
      <c r="B439" s="1417" t="s">
        <v>857</v>
      </c>
      <c r="C439" s="1451" t="s">
        <v>827</v>
      </c>
      <c r="D439" s="1388" t="s">
        <v>974</v>
      </c>
      <c r="E439" s="1389">
        <v>438</v>
      </c>
      <c r="F439" s="1402">
        <v>4.2</v>
      </c>
      <c r="G439" s="1401" t="s">
        <v>926</v>
      </c>
      <c r="H439" s="1454" t="s">
        <v>826</v>
      </c>
      <c r="I439" s="714" t="s">
        <v>975</v>
      </c>
      <c r="J439" s="1395" t="s">
        <v>900</v>
      </c>
    </row>
    <row r="440" spans="1:10" x14ac:dyDescent="0.25">
      <c r="A440" s="1418" t="s">
        <v>916</v>
      </c>
      <c r="B440" s="1417" t="s">
        <v>837</v>
      </c>
      <c r="C440" s="1451" t="s">
        <v>827</v>
      </c>
      <c r="D440" s="1388" t="s">
        <v>974</v>
      </c>
      <c r="E440" s="1389">
        <v>439</v>
      </c>
      <c r="F440" s="1402">
        <v>4.3</v>
      </c>
      <c r="G440" s="1394" t="s">
        <v>885</v>
      </c>
      <c r="H440" s="1454" t="s">
        <v>826</v>
      </c>
      <c r="I440" s="714" t="s">
        <v>975</v>
      </c>
      <c r="J440" s="1395" t="s">
        <v>886</v>
      </c>
    </row>
    <row r="441" spans="1:10" x14ac:dyDescent="0.25">
      <c r="A441" s="1418" t="s">
        <v>917</v>
      </c>
      <c r="B441" s="1417" t="s">
        <v>837</v>
      </c>
      <c r="C441" s="1451" t="s">
        <v>827</v>
      </c>
      <c r="D441" s="1388" t="s">
        <v>974</v>
      </c>
      <c r="E441" s="1389">
        <v>440</v>
      </c>
      <c r="F441" s="1402">
        <v>4.4000000000000004</v>
      </c>
      <c r="G441" s="1394" t="s">
        <v>889</v>
      </c>
      <c r="H441" s="1454" t="s">
        <v>826</v>
      </c>
      <c r="I441" s="714" t="s">
        <v>975</v>
      </c>
      <c r="J441" s="1395" t="s">
        <v>890</v>
      </c>
    </row>
    <row r="442" spans="1:10" x14ac:dyDescent="0.25">
      <c r="A442" s="1421" t="s">
        <v>918</v>
      </c>
      <c r="B442" s="1422" t="s">
        <v>919</v>
      </c>
      <c r="C442" s="1451" t="s">
        <v>827</v>
      </c>
      <c r="D442" s="1388" t="s">
        <v>974</v>
      </c>
      <c r="E442" s="1389">
        <v>441</v>
      </c>
      <c r="F442" s="1390" t="s">
        <v>732</v>
      </c>
      <c r="G442" s="1401" t="s">
        <v>548</v>
      </c>
      <c r="H442" s="1454" t="s">
        <v>826</v>
      </c>
      <c r="I442" s="714" t="s">
        <v>975</v>
      </c>
      <c r="J442" s="1395" t="s">
        <v>548</v>
      </c>
    </row>
    <row r="443" spans="1:10" x14ac:dyDescent="0.25">
      <c r="A443" s="1414" t="s">
        <v>920</v>
      </c>
      <c r="B443" s="1415" t="s">
        <v>825</v>
      </c>
      <c r="C443" s="1451" t="s">
        <v>827</v>
      </c>
      <c r="D443" s="1388" t="s">
        <v>974</v>
      </c>
      <c r="E443" s="1389">
        <v>442</v>
      </c>
      <c r="F443" s="1390" t="s">
        <v>734</v>
      </c>
      <c r="G443" s="1401" t="s">
        <v>825</v>
      </c>
      <c r="H443" s="1454" t="s">
        <v>826</v>
      </c>
      <c r="I443" s="714" t="s">
        <v>975</v>
      </c>
      <c r="J443" s="1395" t="s">
        <v>828</v>
      </c>
    </row>
    <row r="444" spans="1:10" x14ac:dyDescent="0.25">
      <c r="A444" s="1418" t="s">
        <v>923</v>
      </c>
      <c r="B444" s="1419" t="s">
        <v>924</v>
      </c>
      <c r="C444" s="1451" t="s">
        <v>827</v>
      </c>
      <c r="D444" s="1388" t="s">
        <v>974</v>
      </c>
      <c r="E444" s="1389">
        <v>443</v>
      </c>
      <c r="F444" s="1390" t="s">
        <v>736</v>
      </c>
      <c r="G444" s="1420" t="s">
        <v>548</v>
      </c>
      <c r="H444" s="1454" t="s">
        <v>826</v>
      </c>
      <c r="I444" s="714" t="s">
        <v>975</v>
      </c>
      <c r="J444" s="1395" t="s">
        <v>548</v>
      </c>
    </row>
    <row r="445" spans="1:10" x14ac:dyDescent="0.25">
      <c r="A445" s="1418" t="s">
        <v>925</v>
      </c>
      <c r="B445" s="1417" t="s">
        <v>926</v>
      </c>
      <c r="C445" s="1451" t="s">
        <v>827</v>
      </c>
      <c r="D445" s="1388" t="s">
        <v>974</v>
      </c>
      <c r="E445" s="1389">
        <v>444</v>
      </c>
      <c r="F445" s="1390" t="s">
        <v>738</v>
      </c>
      <c r="G445" s="1401" t="s">
        <v>837</v>
      </c>
      <c r="H445" s="1454" t="s">
        <v>826</v>
      </c>
      <c r="I445" s="714" t="s">
        <v>975</v>
      </c>
      <c r="J445" s="1395" t="s">
        <v>845</v>
      </c>
    </row>
    <row r="446" spans="1:10" x14ac:dyDescent="0.25">
      <c r="A446" s="1418" t="s">
        <v>928</v>
      </c>
      <c r="B446" s="1417" t="s">
        <v>825</v>
      </c>
      <c r="C446" s="1451" t="s">
        <v>827</v>
      </c>
      <c r="D446" s="1388" t="s">
        <v>974</v>
      </c>
      <c r="E446" s="1389">
        <v>445</v>
      </c>
      <c r="F446" s="1402">
        <v>5.3</v>
      </c>
      <c r="G446" s="1394" t="s">
        <v>899</v>
      </c>
      <c r="H446" s="1454" t="s">
        <v>826</v>
      </c>
      <c r="I446" s="714" t="s">
        <v>975</v>
      </c>
      <c r="J446" s="1395" t="s">
        <v>900</v>
      </c>
    </row>
    <row r="447" spans="1:10" x14ac:dyDescent="0.25">
      <c r="A447" s="1416" t="s">
        <v>929</v>
      </c>
      <c r="B447" s="1417" t="s">
        <v>548</v>
      </c>
      <c r="C447" s="1451" t="s">
        <v>827</v>
      </c>
      <c r="D447" s="1388" t="s">
        <v>974</v>
      </c>
      <c r="E447" s="1389">
        <v>446</v>
      </c>
      <c r="F447" s="1402">
        <v>5.4</v>
      </c>
      <c r="G447" s="1401" t="s">
        <v>903</v>
      </c>
      <c r="H447" s="1454" t="s">
        <v>826</v>
      </c>
      <c r="I447" s="714" t="s">
        <v>975</v>
      </c>
      <c r="J447" s="1395" t="s">
        <v>864</v>
      </c>
    </row>
    <row r="448" spans="1:10" x14ac:dyDescent="0.25">
      <c r="A448" s="1418" t="s">
        <v>930</v>
      </c>
      <c r="B448" s="1417" t="s">
        <v>548</v>
      </c>
      <c r="C448" s="1451" t="s">
        <v>827</v>
      </c>
      <c r="D448" s="1388" t="s">
        <v>974</v>
      </c>
      <c r="E448" s="1389">
        <v>447</v>
      </c>
      <c r="F448" s="1402">
        <v>5.5</v>
      </c>
      <c r="G448" s="1394" t="s">
        <v>841</v>
      </c>
      <c r="H448" s="1454" t="s">
        <v>826</v>
      </c>
      <c r="I448" s="714" t="s">
        <v>975</v>
      </c>
      <c r="J448" s="1395" t="s">
        <v>856</v>
      </c>
    </row>
    <row r="449" spans="1:10" x14ac:dyDescent="0.25">
      <c r="A449" s="1416" t="s">
        <v>932</v>
      </c>
      <c r="B449" s="1417" t="s">
        <v>841</v>
      </c>
      <c r="C449" s="1451" t="s">
        <v>827</v>
      </c>
      <c r="D449" s="1388" t="s">
        <v>974</v>
      </c>
      <c r="E449" s="1389">
        <v>448</v>
      </c>
      <c r="F449" s="1402">
        <v>5.6</v>
      </c>
      <c r="G449" s="1394" t="s">
        <v>825</v>
      </c>
      <c r="H449" s="1454" t="s">
        <v>826</v>
      </c>
      <c r="I449" s="714" t="s">
        <v>975</v>
      </c>
      <c r="J449" s="1395" t="s">
        <v>828</v>
      </c>
    </row>
    <row r="450" spans="1:10" x14ac:dyDescent="0.25">
      <c r="A450" s="1418">
        <v>7.5</v>
      </c>
      <c r="B450" s="1417" t="s">
        <v>825</v>
      </c>
      <c r="C450" s="1451" t="s">
        <v>827</v>
      </c>
      <c r="D450" s="1388" t="s">
        <v>974</v>
      </c>
      <c r="E450" s="1389">
        <v>449</v>
      </c>
      <c r="F450" s="1390" t="s">
        <v>744</v>
      </c>
      <c r="G450" s="1401" t="s">
        <v>548</v>
      </c>
      <c r="H450" s="1454" t="s">
        <v>826</v>
      </c>
      <c r="I450" s="714" t="s">
        <v>975</v>
      </c>
      <c r="J450" s="1395" t="s">
        <v>548</v>
      </c>
    </row>
    <row r="451" spans="1:10" x14ac:dyDescent="0.25">
      <c r="A451" s="1418">
        <v>7.6</v>
      </c>
      <c r="B451" s="1417" t="s">
        <v>825</v>
      </c>
      <c r="C451" s="1451" t="s">
        <v>827</v>
      </c>
      <c r="D451" s="1388" t="s">
        <v>974</v>
      </c>
      <c r="E451" s="1389">
        <v>450</v>
      </c>
      <c r="F451" s="1390" t="s">
        <v>746</v>
      </c>
      <c r="G451" s="1401" t="s">
        <v>834</v>
      </c>
      <c r="H451" s="1454" t="s">
        <v>826</v>
      </c>
      <c r="I451" s="714" t="s">
        <v>975</v>
      </c>
      <c r="J451" s="1395" t="s">
        <v>854</v>
      </c>
    </row>
    <row r="452" spans="1:10" x14ac:dyDescent="0.25">
      <c r="A452" s="1418">
        <v>7.7</v>
      </c>
      <c r="B452" s="1417" t="s">
        <v>825</v>
      </c>
      <c r="C452" s="1451" t="s">
        <v>827</v>
      </c>
      <c r="D452" s="1388" t="s">
        <v>974</v>
      </c>
      <c r="E452" s="1389">
        <v>451</v>
      </c>
      <c r="F452" s="1390" t="s">
        <v>748</v>
      </c>
      <c r="G452" s="1401" t="s">
        <v>961</v>
      </c>
      <c r="H452" s="1454" t="s">
        <v>826</v>
      </c>
      <c r="I452" s="714" t="s">
        <v>975</v>
      </c>
      <c r="J452" s="1439" t="s">
        <v>962</v>
      </c>
    </row>
    <row r="453" spans="1:10" x14ac:dyDescent="0.25">
      <c r="A453" s="1418">
        <v>7.8</v>
      </c>
      <c r="B453" s="1417" t="s">
        <v>825</v>
      </c>
      <c r="C453" s="1451" t="s">
        <v>827</v>
      </c>
      <c r="D453" s="1388" t="s">
        <v>974</v>
      </c>
      <c r="E453" s="1389">
        <v>452</v>
      </c>
      <c r="F453" s="1269" t="s">
        <v>750</v>
      </c>
      <c r="G453" s="1394" t="s">
        <v>902</v>
      </c>
      <c r="H453" s="1454" t="s">
        <v>826</v>
      </c>
      <c r="I453" s="714" t="s">
        <v>975</v>
      </c>
      <c r="J453" s="1395" t="s">
        <v>908</v>
      </c>
    </row>
    <row r="454" spans="1:10" x14ac:dyDescent="0.25">
      <c r="A454" s="1424" t="s">
        <v>935</v>
      </c>
      <c r="B454" s="1417" t="s">
        <v>548</v>
      </c>
      <c r="C454" s="1451" t="s">
        <v>827</v>
      </c>
      <c r="D454" s="1388" t="s">
        <v>974</v>
      </c>
      <c r="E454" s="1389">
        <v>453</v>
      </c>
      <c r="F454" s="1390" t="s">
        <v>752</v>
      </c>
      <c r="G454" s="1401" t="s">
        <v>963</v>
      </c>
      <c r="H454" s="1454" t="s">
        <v>826</v>
      </c>
      <c r="I454" s="714" t="s">
        <v>975</v>
      </c>
      <c r="J454" s="1423" t="s">
        <v>964</v>
      </c>
    </row>
    <row r="455" spans="1:10" x14ac:dyDescent="0.25">
      <c r="A455" s="1418" t="s">
        <v>936</v>
      </c>
      <c r="B455" s="1417" t="s">
        <v>825</v>
      </c>
      <c r="C455" s="1451" t="s">
        <v>827</v>
      </c>
      <c r="D455" s="1388" t="s">
        <v>974</v>
      </c>
      <c r="E455" s="1389">
        <v>454</v>
      </c>
      <c r="F455" s="1412">
        <v>5.9</v>
      </c>
      <c r="G455" s="1401" t="s">
        <v>825</v>
      </c>
      <c r="H455" s="1454" t="s">
        <v>826</v>
      </c>
      <c r="I455" s="714" t="s">
        <v>975</v>
      </c>
      <c r="J455" s="1395" t="s">
        <v>828</v>
      </c>
    </row>
    <row r="456" spans="1:10" x14ac:dyDescent="0.25">
      <c r="A456" s="1418" t="s">
        <v>937</v>
      </c>
      <c r="B456" s="1417" t="s">
        <v>825</v>
      </c>
      <c r="C456" s="1451" t="s">
        <v>827</v>
      </c>
      <c r="D456" s="1388" t="s">
        <v>974</v>
      </c>
      <c r="E456" s="1389">
        <v>455</v>
      </c>
      <c r="F456" s="1406" t="s">
        <v>755</v>
      </c>
      <c r="G456" s="1401" t="s">
        <v>976</v>
      </c>
      <c r="H456" s="1454" t="s">
        <v>826</v>
      </c>
      <c r="I456" s="714" t="s">
        <v>975</v>
      </c>
      <c r="J456" s="1395" t="s">
        <v>966</v>
      </c>
    </row>
    <row r="457" spans="1:10" x14ac:dyDescent="0.25">
      <c r="A457" s="1418" t="s">
        <v>787</v>
      </c>
      <c r="B457" s="1417" t="s">
        <v>825</v>
      </c>
      <c r="C457" s="1451" t="s">
        <v>827</v>
      </c>
      <c r="D457" s="1388" t="s">
        <v>974</v>
      </c>
      <c r="E457" s="1389">
        <v>456</v>
      </c>
      <c r="F457" s="1402">
        <v>5.1100000000000003</v>
      </c>
      <c r="G457" s="1401" t="s">
        <v>958</v>
      </c>
      <c r="H457" s="1454" t="s">
        <v>826</v>
      </c>
      <c r="I457" s="714" t="s">
        <v>975</v>
      </c>
      <c r="J457" s="1395" t="s">
        <v>968</v>
      </c>
    </row>
    <row r="458" spans="1:10" x14ac:dyDescent="0.25">
      <c r="A458" s="1418">
        <v>7.11</v>
      </c>
      <c r="B458" s="1417" t="s">
        <v>825</v>
      </c>
      <c r="C458" s="1451" t="s">
        <v>827</v>
      </c>
      <c r="D458" s="1388" t="s">
        <v>974</v>
      </c>
      <c r="E458" s="1389">
        <v>457</v>
      </c>
      <c r="F458" s="1402">
        <v>5.12</v>
      </c>
      <c r="G458" s="1401" t="s">
        <v>849</v>
      </c>
      <c r="H458" s="1454" t="s">
        <v>826</v>
      </c>
      <c r="I458" s="714" t="s">
        <v>975</v>
      </c>
      <c r="J458" s="1395">
        <v>10</v>
      </c>
    </row>
    <row r="459" spans="1:10" x14ac:dyDescent="0.25">
      <c r="A459" s="1418">
        <v>7.12</v>
      </c>
      <c r="B459" s="1417" t="s">
        <v>825</v>
      </c>
      <c r="C459" s="1451" t="s">
        <v>827</v>
      </c>
      <c r="D459" s="1388" t="s">
        <v>974</v>
      </c>
      <c r="E459" s="1389">
        <v>458</v>
      </c>
      <c r="F459" s="1402">
        <v>5.13</v>
      </c>
      <c r="G459" s="1401" t="s">
        <v>977</v>
      </c>
      <c r="H459" s="1454" t="s">
        <v>826</v>
      </c>
      <c r="I459" s="714" t="s">
        <v>975</v>
      </c>
      <c r="J459" s="1395" t="s">
        <v>970</v>
      </c>
    </row>
    <row r="460" spans="1:10" x14ac:dyDescent="0.25">
      <c r="A460" s="1418">
        <v>7.13</v>
      </c>
      <c r="B460" s="1417" t="s">
        <v>938</v>
      </c>
      <c r="C460" s="1451" t="s">
        <v>827</v>
      </c>
      <c r="D460" s="1388" t="s">
        <v>974</v>
      </c>
      <c r="E460" s="1389">
        <v>459</v>
      </c>
      <c r="F460" s="1402">
        <v>6.1</v>
      </c>
      <c r="G460" s="1401" t="s">
        <v>825</v>
      </c>
      <c r="H460" s="1454" t="s">
        <v>826</v>
      </c>
      <c r="I460" s="714" t="s">
        <v>975</v>
      </c>
      <c r="J460" s="1395" t="s">
        <v>828</v>
      </c>
    </row>
    <row r="461" spans="1:10" x14ac:dyDescent="0.25">
      <c r="A461" s="1418">
        <v>7.14</v>
      </c>
      <c r="B461" s="1417" t="s">
        <v>825</v>
      </c>
      <c r="C461" s="1451" t="s">
        <v>827</v>
      </c>
      <c r="D461" s="1388" t="s">
        <v>974</v>
      </c>
      <c r="E461" s="1389">
        <v>460</v>
      </c>
      <c r="F461" s="1402">
        <v>6.2</v>
      </c>
      <c r="G461" s="1401" t="s">
        <v>825</v>
      </c>
      <c r="H461" s="1454" t="s">
        <v>826</v>
      </c>
      <c r="I461" s="714" t="s">
        <v>975</v>
      </c>
      <c r="J461" s="1395" t="s">
        <v>828</v>
      </c>
    </row>
    <row r="462" spans="1:10" x14ac:dyDescent="0.25">
      <c r="A462" s="1418">
        <v>7.15</v>
      </c>
      <c r="B462" s="1417" t="s">
        <v>825</v>
      </c>
      <c r="C462" s="1451" t="s">
        <v>827</v>
      </c>
      <c r="D462" s="1388" t="s">
        <v>974</v>
      </c>
      <c r="E462" s="1389">
        <v>461</v>
      </c>
      <c r="F462" s="1402">
        <v>6.3</v>
      </c>
      <c r="G462" s="1401" t="s">
        <v>869</v>
      </c>
      <c r="H462" s="1454" t="s">
        <v>826</v>
      </c>
      <c r="I462" s="714" t="s">
        <v>975</v>
      </c>
      <c r="J462" s="1423" t="s">
        <v>870</v>
      </c>
    </row>
    <row r="463" spans="1:10" x14ac:dyDescent="0.25">
      <c r="A463" s="1418">
        <v>7.16</v>
      </c>
      <c r="B463" s="1417" t="s">
        <v>825</v>
      </c>
      <c r="C463" s="1451" t="s">
        <v>827</v>
      </c>
      <c r="D463" s="1388" t="s">
        <v>974</v>
      </c>
      <c r="E463" s="1389">
        <v>462</v>
      </c>
      <c r="F463" s="1402">
        <v>6.4</v>
      </c>
      <c r="G463" s="1401" t="s">
        <v>921</v>
      </c>
      <c r="H463" s="1454" t="s">
        <v>826</v>
      </c>
      <c r="I463" s="714" t="s">
        <v>975</v>
      </c>
      <c r="J463" s="1395" t="s">
        <v>922</v>
      </c>
    </row>
    <row r="464" spans="1:10" x14ac:dyDescent="0.25">
      <c r="A464" s="1421">
        <v>7.17</v>
      </c>
      <c r="B464" s="1422" t="s">
        <v>889</v>
      </c>
      <c r="C464" s="1451" t="s">
        <v>827</v>
      </c>
      <c r="D464" s="1388" t="s">
        <v>974</v>
      </c>
      <c r="E464" s="1389">
        <v>463</v>
      </c>
      <c r="F464" s="1390" t="s">
        <v>765</v>
      </c>
      <c r="G464" s="1394" t="s">
        <v>834</v>
      </c>
      <c r="H464" s="1454" t="s">
        <v>826</v>
      </c>
      <c r="I464" s="714" t="s">
        <v>975</v>
      </c>
      <c r="J464" s="1395" t="s">
        <v>854</v>
      </c>
    </row>
    <row r="465" spans="1:10" x14ac:dyDescent="0.25">
      <c r="A465" s="1414" t="s">
        <v>941</v>
      </c>
      <c r="B465" s="1415" t="s">
        <v>825</v>
      </c>
      <c r="C465" s="1451" t="s">
        <v>827</v>
      </c>
      <c r="D465" s="1388" t="s">
        <v>974</v>
      </c>
      <c r="E465" s="1389">
        <v>464</v>
      </c>
      <c r="F465" s="1390" t="s">
        <v>767</v>
      </c>
      <c r="G465" s="1394" t="s">
        <v>927</v>
      </c>
      <c r="H465" s="1454" t="s">
        <v>826</v>
      </c>
      <c r="I465" s="714" t="s">
        <v>975</v>
      </c>
      <c r="J465" s="1395" t="s">
        <v>854</v>
      </c>
    </row>
    <row r="466" spans="1:10" x14ac:dyDescent="0.25">
      <c r="A466" s="1418" t="s">
        <v>942</v>
      </c>
      <c r="B466" s="1417" t="s">
        <v>825</v>
      </c>
      <c r="C466" s="1451" t="s">
        <v>827</v>
      </c>
      <c r="D466" s="1388" t="s">
        <v>974</v>
      </c>
      <c r="E466" s="1389">
        <v>465</v>
      </c>
      <c r="F466" s="1402">
        <v>6.6</v>
      </c>
      <c r="G466" s="1401" t="s">
        <v>832</v>
      </c>
      <c r="H466" s="1454" t="s">
        <v>826</v>
      </c>
      <c r="I466" s="714" t="s">
        <v>975</v>
      </c>
      <c r="J466" s="1423" t="s">
        <v>833</v>
      </c>
    </row>
    <row r="467" spans="1:10" x14ac:dyDescent="0.25">
      <c r="A467" s="1418" t="s">
        <v>943</v>
      </c>
      <c r="B467" s="1417" t="s">
        <v>825</v>
      </c>
      <c r="C467" s="1451" t="s">
        <v>827</v>
      </c>
      <c r="D467" s="1388" t="s">
        <v>974</v>
      </c>
      <c r="E467" s="1389">
        <v>466</v>
      </c>
      <c r="F467" s="1402">
        <v>7.1</v>
      </c>
      <c r="G467" s="1401" t="s">
        <v>825</v>
      </c>
      <c r="H467" s="1454" t="s">
        <v>826</v>
      </c>
      <c r="I467" s="714" t="s">
        <v>975</v>
      </c>
      <c r="J467" s="1395" t="s">
        <v>828</v>
      </c>
    </row>
    <row r="468" spans="1:10" x14ac:dyDescent="0.25">
      <c r="A468" s="1418" t="s">
        <v>944</v>
      </c>
      <c r="B468" s="1417" t="s">
        <v>889</v>
      </c>
      <c r="C468" s="1451" t="s">
        <v>827</v>
      </c>
      <c r="D468" s="1388" t="s">
        <v>974</v>
      </c>
      <c r="E468" s="1389">
        <v>467</v>
      </c>
      <c r="F468" s="1390" t="s">
        <v>773</v>
      </c>
      <c r="G468" s="1394" t="s">
        <v>931</v>
      </c>
      <c r="H468" s="1454" t="s">
        <v>826</v>
      </c>
      <c r="I468" s="714" t="s">
        <v>975</v>
      </c>
      <c r="J468" s="1395" t="s">
        <v>864</v>
      </c>
    </row>
    <row r="469" spans="1:10" x14ac:dyDescent="0.25">
      <c r="A469" s="1421" t="s">
        <v>945</v>
      </c>
      <c r="B469" s="1422" t="s">
        <v>834</v>
      </c>
      <c r="C469" s="1451" t="s">
        <v>827</v>
      </c>
      <c r="D469" s="1388" t="s">
        <v>974</v>
      </c>
      <c r="E469" s="1389">
        <v>468</v>
      </c>
      <c r="F469" s="1390" t="s">
        <v>775</v>
      </c>
      <c r="G469" s="1394" t="s">
        <v>933</v>
      </c>
      <c r="H469" s="1454" t="s">
        <v>826</v>
      </c>
      <c r="I469" s="714" t="s">
        <v>975</v>
      </c>
      <c r="J469" s="1395" t="s">
        <v>934</v>
      </c>
    </row>
    <row r="470" spans="1:10" x14ac:dyDescent="0.25">
      <c r="A470" s="1095"/>
      <c r="B470" s="1095"/>
      <c r="E470" s="1389">
        <v>469</v>
      </c>
      <c r="F470" s="1390" t="s">
        <v>776</v>
      </c>
      <c r="G470" s="1401" t="s">
        <v>548</v>
      </c>
      <c r="H470" s="1454" t="s">
        <v>826</v>
      </c>
      <c r="I470" s="714" t="s">
        <v>975</v>
      </c>
      <c r="J470" s="1395" t="s">
        <v>548</v>
      </c>
    </row>
    <row r="471" spans="1:10" x14ac:dyDescent="0.25">
      <c r="A471" s="1095"/>
      <c r="B471" s="1095"/>
      <c r="E471" s="1389">
        <v>470</v>
      </c>
      <c r="F471" s="1390" t="s">
        <v>778</v>
      </c>
      <c r="G471" s="1401" t="s">
        <v>841</v>
      </c>
      <c r="H471" s="1454" t="s">
        <v>826</v>
      </c>
      <c r="I471" s="714" t="s">
        <v>975</v>
      </c>
      <c r="J471" s="1395" t="s">
        <v>856</v>
      </c>
    </row>
    <row r="472" spans="1:10" x14ac:dyDescent="0.25">
      <c r="E472" s="1389">
        <v>471</v>
      </c>
      <c r="F472" s="1390" t="s">
        <v>779</v>
      </c>
      <c r="G472" s="1401" t="s">
        <v>548</v>
      </c>
      <c r="H472" s="1454" t="s">
        <v>826</v>
      </c>
      <c r="I472" s="714" t="s">
        <v>975</v>
      </c>
      <c r="J472" s="1395" t="s">
        <v>548</v>
      </c>
    </row>
    <row r="473" spans="1:10" x14ac:dyDescent="0.25">
      <c r="E473" s="1389">
        <v>472</v>
      </c>
      <c r="F473" s="1390" t="s">
        <v>781</v>
      </c>
      <c r="G473" s="1401" t="s">
        <v>841</v>
      </c>
      <c r="H473" s="1454" t="s">
        <v>826</v>
      </c>
      <c r="I473" s="714" t="s">
        <v>975</v>
      </c>
      <c r="J473" s="1395" t="s">
        <v>856</v>
      </c>
    </row>
    <row r="474" spans="1:10" x14ac:dyDescent="0.25">
      <c r="A474" s="1095"/>
      <c r="B474" s="1095"/>
      <c r="E474" s="1389">
        <v>473</v>
      </c>
      <c r="F474" s="1402">
        <v>7.5</v>
      </c>
      <c r="G474" s="1401" t="s">
        <v>825</v>
      </c>
      <c r="H474" s="1454" t="s">
        <v>826</v>
      </c>
      <c r="I474" s="714" t="s">
        <v>975</v>
      </c>
      <c r="J474" s="1395" t="s">
        <v>828</v>
      </c>
    </row>
    <row r="475" spans="1:10" x14ac:dyDescent="0.25">
      <c r="A475" s="1095"/>
      <c r="B475" s="1095"/>
      <c r="E475" s="1389">
        <v>474</v>
      </c>
      <c r="F475" s="1402">
        <v>7.6</v>
      </c>
      <c r="G475" s="1401" t="s">
        <v>825</v>
      </c>
      <c r="H475" s="1454" t="s">
        <v>826</v>
      </c>
      <c r="I475" s="714" t="s">
        <v>975</v>
      </c>
      <c r="J475" s="1395" t="s">
        <v>828</v>
      </c>
    </row>
    <row r="476" spans="1:10" x14ac:dyDescent="0.25">
      <c r="A476" s="1095"/>
      <c r="B476" s="1095"/>
      <c r="E476" s="1389">
        <v>475</v>
      </c>
      <c r="F476" s="1402">
        <v>7.7</v>
      </c>
      <c r="G476" s="1401" t="s">
        <v>825</v>
      </c>
      <c r="H476" s="1454" t="s">
        <v>826</v>
      </c>
      <c r="I476" s="714" t="s">
        <v>975</v>
      </c>
      <c r="J476" s="1395" t="s">
        <v>828</v>
      </c>
    </row>
    <row r="477" spans="1:10" x14ac:dyDescent="0.25">
      <c r="A477" s="1095"/>
      <c r="B477" s="1095"/>
      <c r="E477" s="1389">
        <v>476</v>
      </c>
      <c r="F477" s="1402">
        <v>7.8</v>
      </c>
      <c r="G477" s="1401" t="s">
        <v>825</v>
      </c>
      <c r="H477" s="1454" t="s">
        <v>826</v>
      </c>
      <c r="I477" s="714" t="s">
        <v>975</v>
      </c>
      <c r="J477" s="1395" t="s">
        <v>828</v>
      </c>
    </row>
    <row r="478" spans="1:10" x14ac:dyDescent="0.25">
      <c r="A478" s="1095"/>
      <c r="B478" s="1095"/>
      <c r="E478" s="1389">
        <v>477</v>
      </c>
      <c r="F478" s="1402">
        <v>7.9</v>
      </c>
      <c r="G478" s="1401" t="s">
        <v>825</v>
      </c>
      <c r="H478" s="1454" t="s">
        <v>826</v>
      </c>
      <c r="I478" s="714" t="s">
        <v>975</v>
      </c>
      <c r="J478" s="1395" t="s">
        <v>828</v>
      </c>
    </row>
    <row r="479" spans="1:10" x14ac:dyDescent="0.25">
      <c r="A479" s="1095"/>
      <c r="B479" s="1095"/>
      <c r="C479" s="1095"/>
      <c r="E479" s="1389">
        <v>478</v>
      </c>
      <c r="F479" s="1406" t="s">
        <v>787</v>
      </c>
      <c r="G479" s="1401" t="s">
        <v>971</v>
      </c>
      <c r="H479" s="1454" t="s">
        <v>826</v>
      </c>
      <c r="I479" s="714" t="s">
        <v>975</v>
      </c>
      <c r="J479" s="1395" t="s">
        <v>864</v>
      </c>
    </row>
    <row r="480" spans="1:10" x14ac:dyDescent="0.25">
      <c r="A480" s="1095"/>
      <c r="B480" s="1095"/>
      <c r="C480" s="1095"/>
      <c r="E480" s="1389">
        <v>479</v>
      </c>
      <c r="F480" s="1402">
        <v>7.11</v>
      </c>
      <c r="G480" s="1401" t="s">
        <v>825</v>
      </c>
      <c r="H480" s="1454" t="s">
        <v>826</v>
      </c>
      <c r="I480" s="714" t="s">
        <v>975</v>
      </c>
      <c r="J480" s="1395" t="s">
        <v>828</v>
      </c>
    </row>
    <row r="481" spans="1:10" x14ac:dyDescent="0.25">
      <c r="A481" s="1095"/>
      <c r="B481" s="1095"/>
      <c r="C481" s="1095"/>
      <c r="E481" s="1389">
        <v>480</v>
      </c>
      <c r="F481" s="1402">
        <v>7.12</v>
      </c>
      <c r="G481" s="1401" t="s">
        <v>825</v>
      </c>
      <c r="H481" s="1454" t="s">
        <v>826</v>
      </c>
      <c r="I481" s="714" t="s">
        <v>975</v>
      </c>
      <c r="J481" s="1395" t="s">
        <v>828</v>
      </c>
    </row>
    <row r="482" spans="1:10" x14ac:dyDescent="0.25">
      <c r="A482" s="1095"/>
      <c r="B482" s="1095"/>
      <c r="E482" s="1389">
        <v>481</v>
      </c>
      <c r="F482" s="1390" t="s">
        <v>791</v>
      </c>
      <c r="G482" s="1401" t="s">
        <v>548</v>
      </c>
      <c r="H482" s="1454" t="s">
        <v>826</v>
      </c>
      <c r="I482" s="714" t="s">
        <v>975</v>
      </c>
      <c r="J482" s="1395" t="s">
        <v>548</v>
      </c>
    </row>
    <row r="483" spans="1:10" x14ac:dyDescent="0.25">
      <c r="A483" s="1095"/>
      <c r="B483" s="1095"/>
      <c r="E483" s="1389">
        <v>482</v>
      </c>
      <c r="F483" s="1390" t="s">
        <v>793</v>
      </c>
      <c r="G483" s="1401" t="s">
        <v>972</v>
      </c>
      <c r="H483" s="1454" t="s">
        <v>826</v>
      </c>
      <c r="I483" s="714" t="s">
        <v>975</v>
      </c>
      <c r="J483" s="1395" t="s">
        <v>548</v>
      </c>
    </row>
    <row r="484" spans="1:10" x14ac:dyDescent="0.25">
      <c r="A484" s="1095"/>
      <c r="B484" s="1095"/>
      <c r="C484" s="1095"/>
      <c r="E484" s="1389">
        <v>483</v>
      </c>
      <c r="F484" s="1402">
        <v>7.14</v>
      </c>
      <c r="G484" s="1401" t="s">
        <v>825</v>
      </c>
      <c r="H484" s="1454" t="s">
        <v>826</v>
      </c>
      <c r="I484" s="714" t="s">
        <v>975</v>
      </c>
      <c r="J484" s="1395" t="s">
        <v>828</v>
      </c>
    </row>
    <row r="485" spans="1:10" x14ac:dyDescent="0.25">
      <c r="A485" s="1095"/>
      <c r="B485" s="1095"/>
      <c r="C485" s="1095"/>
      <c r="E485" s="1389">
        <v>484</v>
      </c>
      <c r="F485" s="1402">
        <v>7.15</v>
      </c>
      <c r="G485" s="1401" t="s">
        <v>825</v>
      </c>
      <c r="H485" s="1454" t="s">
        <v>826</v>
      </c>
      <c r="I485" s="714" t="s">
        <v>975</v>
      </c>
      <c r="J485" s="1395" t="s">
        <v>828</v>
      </c>
    </row>
    <row r="486" spans="1:10" x14ac:dyDescent="0.25">
      <c r="A486" s="1095"/>
      <c r="B486" s="1095"/>
      <c r="E486" s="1389">
        <v>485</v>
      </c>
      <c r="F486" s="1402">
        <v>7.16</v>
      </c>
      <c r="G486" s="1401" t="s">
        <v>825</v>
      </c>
      <c r="H486" s="1454" t="s">
        <v>826</v>
      </c>
      <c r="I486" s="714" t="s">
        <v>975</v>
      </c>
      <c r="J486" s="1395" t="s">
        <v>828</v>
      </c>
    </row>
    <row r="487" spans="1:10" x14ac:dyDescent="0.25">
      <c r="A487" s="1095"/>
      <c r="B487" s="1095"/>
      <c r="E487" s="1389">
        <v>486</v>
      </c>
      <c r="F487" s="1402">
        <v>7.17</v>
      </c>
      <c r="G487" s="1401" t="s">
        <v>825</v>
      </c>
      <c r="H487" s="1454" t="s">
        <v>826</v>
      </c>
      <c r="I487" s="714" t="s">
        <v>975</v>
      </c>
      <c r="J487" s="1395" t="s">
        <v>828</v>
      </c>
    </row>
    <row r="488" spans="1:10" x14ac:dyDescent="0.25">
      <c r="E488" s="1389">
        <v>487</v>
      </c>
      <c r="F488" s="1390" t="s">
        <v>800</v>
      </c>
      <c r="G488" s="1401" t="s">
        <v>825</v>
      </c>
      <c r="H488" s="1454" t="s">
        <v>826</v>
      </c>
      <c r="I488" s="714" t="s">
        <v>975</v>
      </c>
      <c r="J488" s="1395" t="s">
        <v>828</v>
      </c>
    </row>
    <row r="489" spans="1:10" x14ac:dyDescent="0.25">
      <c r="E489" s="1389">
        <v>488</v>
      </c>
      <c r="F489" s="1390" t="s">
        <v>802</v>
      </c>
      <c r="G489" s="1394" t="s">
        <v>889</v>
      </c>
      <c r="H489" s="1454" t="s">
        <v>826</v>
      </c>
      <c r="I489" s="714" t="s">
        <v>975</v>
      </c>
      <c r="J489" s="1395" t="s">
        <v>890</v>
      </c>
    </row>
    <row r="490" spans="1:10" x14ac:dyDescent="0.25">
      <c r="A490" s="1095"/>
      <c r="B490" s="1095"/>
      <c r="E490" s="1389">
        <v>489</v>
      </c>
      <c r="F490" s="1402">
        <v>8.1999999999999993</v>
      </c>
      <c r="G490" s="1401" t="s">
        <v>947</v>
      </c>
      <c r="H490" s="1454" t="s">
        <v>826</v>
      </c>
      <c r="I490" s="714" t="s">
        <v>975</v>
      </c>
      <c r="J490" s="1395" t="s">
        <v>948</v>
      </c>
    </row>
    <row r="491" spans="1:10" x14ac:dyDescent="0.25">
      <c r="A491" s="1095"/>
      <c r="B491" s="1095"/>
      <c r="E491" s="1389">
        <v>490</v>
      </c>
      <c r="F491" s="1402">
        <v>8.3000000000000007</v>
      </c>
      <c r="G491" s="1401" t="s">
        <v>825</v>
      </c>
      <c r="H491" s="1454" t="s">
        <v>826</v>
      </c>
      <c r="I491" s="714" t="s">
        <v>975</v>
      </c>
      <c r="J491" s="1395" t="s">
        <v>828</v>
      </c>
    </row>
    <row r="492" spans="1:10" x14ac:dyDescent="0.25">
      <c r="A492" s="1095"/>
      <c r="B492" s="1095"/>
      <c r="E492" s="1389">
        <v>491</v>
      </c>
      <c r="F492" s="1402">
        <v>8.4</v>
      </c>
      <c r="G492" s="1401" t="s">
        <v>949</v>
      </c>
      <c r="H492" s="1454" t="s">
        <v>826</v>
      </c>
      <c r="I492" s="714" t="s">
        <v>975</v>
      </c>
      <c r="J492" s="1395" t="s">
        <v>950</v>
      </c>
    </row>
    <row r="493" spans="1:10" x14ac:dyDescent="0.25">
      <c r="A493" s="1095"/>
      <c r="B493" s="1095"/>
      <c r="E493" s="1389">
        <v>492</v>
      </c>
      <c r="F493" s="1402">
        <v>8.5</v>
      </c>
      <c r="G493" s="1401" t="s">
        <v>825</v>
      </c>
      <c r="H493" s="1454" t="s">
        <v>826</v>
      </c>
      <c r="I493" s="714" t="s">
        <v>975</v>
      </c>
      <c r="J493" s="1395" t="s">
        <v>828</v>
      </c>
    </row>
  </sheetData>
  <autoFilter ref="A1:J493"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H28"/>
  <sheetViews>
    <sheetView workbookViewId="0">
      <selection activeCell="C85" sqref="C85"/>
    </sheetView>
  </sheetViews>
  <sheetFormatPr defaultColWidth="9.140625" defaultRowHeight="15" x14ac:dyDescent="0.25"/>
  <cols>
    <col min="1" max="1" width="7.85546875" style="714" bestFit="1" customWidth="1"/>
    <col min="2" max="2" width="17" style="714" bestFit="1" customWidth="1"/>
    <col min="3" max="3" width="9.140625" style="714"/>
    <col min="4" max="4" width="12.5703125" style="714" bestFit="1" customWidth="1"/>
    <col min="5" max="5" width="24.85546875" style="714" bestFit="1" customWidth="1"/>
    <col min="6" max="6" width="23.85546875" style="714" bestFit="1" customWidth="1"/>
    <col min="7" max="7" width="24.85546875" style="714" bestFit="1" customWidth="1"/>
    <col min="8" max="8" width="24" style="714" bestFit="1" customWidth="1"/>
    <col min="9" max="9" width="23" style="714" bestFit="1" customWidth="1"/>
    <col min="10" max="10" width="24" style="714" bestFit="1" customWidth="1"/>
    <col min="11" max="11" width="26.28515625" style="714" bestFit="1" customWidth="1"/>
    <col min="12" max="12" width="25.140625" style="714" bestFit="1" customWidth="1"/>
    <col min="13" max="13" width="26.28515625" style="714" bestFit="1" customWidth="1"/>
    <col min="14" max="14" width="25.28515625" style="714" bestFit="1" customWidth="1"/>
    <col min="15" max="15" width="24.28515625" style="714" bestFit="1" customWidth="1"/>
    <col min="16" max="16" width="25.28515625" style="714" bestFit="1" customWidth="1"/>
    <col min="17" max="17" width="26.140625" style="714" bestFit="1" customWidth="1"/>
    <col min="18" max="18" width="25" style="714" bestFit="1" customWidth="1"/>
    <col min="19" max="19" width="26.140625" style="714" bestFit="1" customWidth="1"/>
    <col min="20" max="20" width="25.140625" style="714" bestFit="1" customWidth="1"/>
    <col min="21" max="21" width="24.140625" style="714" bestFit="1" customWidth="1"/>
    <col min="22" max="22" width="25.140625" style="714" bestFit="1" customWidth="1"/>
    <col min="23" max="23" width="24.85546875" style="714" bestFit="1" customWidth="1"/>
    <col min="24" max="24" width="23.85546875" style="714" bestFit="1" customWidth="1"/>
    <col min="25" max="25" width="24.85546875" style="714" bestFit="1" customWidth="1"/>
    <col min="26" max="26" width="24" style="714" bestFit="1" customWidth="1"/>
    <col min="27" max="27" width="23" style="714" bestFit="1" customWidth="1"/>
    <col min="28" max="28" width="24" style="714" bestFit="1" customWidth="1"/>
    <col min="29" max="29" width="26.28515625" style="714" bestFit="1" customWidth="1"/>
    <col min="30" max="30" width="25.140625" style="714" bestFit="1" customWidth="1"/>
    <col min="31" max="31" width="26.28515625" style="714" bestFit="1" customWidth="1"/>
    <col min="32" max="32" width="25.28515625" style="714" bestFit="1" customWidth="1"/>
    <col min="33" max="33" width="24.28515625" style="714" bestFit="1" customWidth="1"/>
    <col min="34" max="34" width="25.28515625" style="714" bestFit="1" customWidth="1"/>
    <col min="35" max="35" width="26.140625" style="714" bestFit="1" customWidth="1"/>
    <col min="36" max="36" width="25" style="714" bestFit="1" customWidth="1"/>
    <col min="37" max="37" width="26.140625" style="714" bestFit="1" customWidth="1"/>
    <col min="38" max="38" width="25.140625" style="714" bestFit="1" customWidth="1"/>
    <col min="39" max="39" width="24.140625" style="714" bestFit="1" customWidth="1"/>
    <col min="40" max="40" width="25.140625" style="714" bestFit="1" customWidth="1"/>
    <col min="41" max="41" width="26.28515625" style="714" bestFit="1" customWidth="1"/>
    <col min="42" max="42" width="25.140625" style="714" bestFit="1" customWidth="1"/>
    <col min="43" max="43" width="26.28515625" style="714" bestFit="1" customWidth="1"/>
    <col min="44" max="44" width="25.28515625" style="714" bestFit="1" customWidth="1"/>
    <col min="45" max="45" width="24.28515625" style="714" bestFit="1" customWidth="1"/>
    <col min="46" max="46" width="25.28515625" style="714" bestFit="1" customWidth="1"/>
    <col min="47" max="47" width="26.140625" style="714" bestFit="1" customWidth="1"/>
    <col min="48" max="48" width="25" style="714" bestFit="1" customWidth="1"/>
    <col min="49" max="49" width="26.140625" style="714" bestFit="1" customWidth="1"/>
    <col min="50" max="50" width="25.140625" style="714" bestFit="1" customWidth="1"/>
    <col min="51" max="51" width="24.140625" style="714" bestFit="1" customWidth="1"/>
    <col min="52" max="52" width="25.140625" style="714" bestFit="1" customWidth="1"/>
    <col min="53" max="53" width="26.28515625" style="714" bestFit="1" customWidth="1"/>
    <col min="54" max="54" width="25.140625" style="714" bestFit="1" customWidth="1"/>
    <col min="55" max="55" width="26.28515625" style="714" bestFit="1" customWidth="1"/>
    <col min="56" max="56" width="25.28515625" style="714" bestFit="1" customWidth="1"/>
    <col min="57" max="57" width="24.28515625" style="714" bestFit="1" customWidth="1"/>
    <col min="58" max="58" width="25.28515625" style="714" bestFit="1" customWidth="1"/>
    <col min="59" max="59" width="26.140625" style="714" bestFit="1" customWidth="1"/>
    <col min="60" max="60" width="25" style="714" bestFit="1" customWidth="1"/>
    <col min="61" max="61" width="26.140625" style="714" bestFit="1" customWidth="1"/>
    <col min="62" max="62" width="25.140625" style="714" bestFit="1" customWidth="1"/>
    <col min="63" max="63" width="24.140625" style="714" bestFit="1" customWidth="1"/>
    <col min="64" max="64" width="25.140625" style="714" bestFit="1" customWidth="1"/>
    <col min="65" max="65" width="26.28515625" style="714" bestFit="1" customWidth="1"/>
    <col min="66" max="66" width="25.140625" style="714" bestFit="1" customWidth="1"/>
    <col min="67" max="67" width="26.28515625" style="714" bestFit="1" customWidth="1"/>
    <col min="68" max="68" width="25.28515625" style="714" bestFit="1" customWidth="1"/>
    <col min="69" max="69" width="24.28515625" style="714" bestFit="1" customWidth="1"/>
    <col min="70" max="70" width="25.28515625" style="714" bestFit="1" customWidth="1"/>
    <col min="71" max="71" width="26.140625" style="714" bestFit="1" customWidth="1"/>
    <col min="72" max="72" width="25" style="714" bestFit="1" customWidth="1"/>
    <col min="73" max="73" width="26.140625" style="714" bestFit="1" customWidth="1"/>
    <col min="74" max="74" width="25.140625" style="714" bestFit="1" customWidth="1"/>
    <col min="75" max="75" width="24.140625" style="714" bestFit="1" customWidth="1"/>
    <col min="76" max="76" width="25.140625" style="714" bestFit="1" customWidth="1"/>
    <col min="77" max="77" width="26" style="714" bestFit="1" customWidth="1"/>
    <col min="78" max="78" width="24.85546875" style="714" bestFit="1" customWidth="1"/>
    <col min="79" max="79" width="26" style="714" bestFit="1" customWidth="1"/>
    <col min="80" max="80" width="25" style="714" bestFit="1" customWidth="1"/>
    <col min="81" max="81" width="24" style="714" bestFit="1" customWidth="1"/>
    <col min="82" max="82" width="25" style="714" bestFit="1" customWidth="1"/>
    <col min="83" max="83" width="26" style="714" bestFit="1" customWidth="1"/>
    <col min="84" max="84" width="24.85546875" style="714" bestFit="1" customWidth="1"/>
    <col min="85" max="85" width="26" style="714" bestFit="1" customWidth="1"/>
    <col min="86" max="86" width="25" style="714" bestFit="1" customWidth="1"/>
    <col min="87" max="87" width="24" style="714" bestFit="1" customWidth="1"/>
    <col min="88" max="88" width="25" style="714" bestFit="1" customWidth="1"/>
    <col min="89" max="89" width="26" style="714" bestFit="1" customWidth="1"/>
    <col min="90" max="90" width="24.85546875" style="714" bestFit="1" customWidth="1"/>
    <col min="91" max="91" width="26" style="714" bestFit="1" customWidth="1"/>
    <col min="92" max="92" width="25" style="714" bestFit="1" customWidth="1"/>
    <col min="93" max="93" width="24" style="714" bestFit="1" customWidth="1"/>
    <col min="94" max="94" width="25" style="714" bestFit="1" customWidth="1"/>
    <col min="95" max="95" width="26" style="714" bestFit="1" customWidth="1"/>
    <col min="96" max="96" width="24.85546875" style="714" bestFit="1" customWidth="1"/>
    <col min="97" max="97" width="26" style="714" bestFit="1" customWidth="1"/>
    <col min="98" max="98" width="25" style="714" bestFit="1" customWidth="1"/>
    <col min="99" max="99" width="24" style="714" bestFit="1" customWidth="1"/>
    <col min="100" max="100" width="25" style="714" bestFit="1" customWidth="1"/>
    <col min="101" max="101" width="26.28515625" style="714" bestFit="1" customWidth="1"/>
    <col min="102" max="102" width="25.140625" style="714" bestFit="1" customWidth="1"/>
    <col min="103" max="103" width="26.28515625" style="714" bestFit="1" customWidth="1"/>
    <col min="104" max="104" width="25.28515625" style="714" bestFit="1" customWidth="1"/>
    <col min="105" max="105" width="24.28515625" style="714" bestFit="1" customWidth="1"/>
    <col min="106" max="106" width="25.28515625" style="714" bestFit="1" customWidth="1"/>
    <col min="107" max="107" width="26.140625" style="714" bestFit="1" customWidth="1"/>
    <col min="108" max="108" width="25" style="714" bestFit="1" customWidth="1"/>
    <col min="109" max="109" width="26.140625" style="714" bestFit="1" customWidth="1"/>
    <col min="110" max="110" width="25.140625" style="714" bestFit="1" customWidth="1"/>
    <col min="111" max="111" width="24.140625" style="714" bestFit="1" customWidth="1"/>
    <col min="112" max="112" width="25.140625" style="714" bestFit="1" customWidth="1"/>
    <col min="113" max="113" width="26.28515625" style="714" bestFit="1" customWidth="1"/>
    <col min="114" max="114" width="25.140625" style="714" bestFit="1" customWidth="1"/>
    <col min="115" max="115" width="26.28515625" style="714" bestFit="1" customWidth="1"/>
    <col min="116" max="116" width="25.28515625" style="714" bestFit="1" customWidth="1"/>
    <col min="117" max="117" width="24.28515625" style="714" bestFit="1" customWidth="1"/>
    <col min="118" max="118" width="25.28515625" style="714" bestFit="1" customWidth="1"/>
    <col min="119" max="119" width="26.140625" style="714" bestFit="1" customWidth="1"/>
    <col min="120" max="120" width="25" style="714" bestFit="1" customWidth="1"/>
    <col min="121" max="121" width="26.140625" style="714" bestFit="1" customWidth="1"/>
    <col min="122" max="122" width="25.140625" style="714" bestFit="1" customWidth="1"/>
    <col min="123" max="123" width="24.140625" style="714" bestFit="1" customWidth="1"/>
    <col min="124" max="124" width="25.140625" style="714" bestFit="1" customWidth="1"/>
    <col min="125" max="125" width="27.28515625" style="714" bestFit="1" customWidth="1"/>
    <col min="126" max="126" width="26.28515625" style="714" bestFit="1" customWidth="1"/>
    <col min="127" max="127" width="27.28515625" style="714" bestFit="1" customWidth="1"/>
    <col min="128" max="128" width="26.42578125" style="714" bestFit="1" customWidth="1"/>
    <col min="129" max="129" width="25.28515625" style="714" bestFit="1" customWidth="1"/>
    <col min="130" max="130" width="26.42578125" style="714" bestFit="1" customWidth="1"/>
    <col min="131" max="131" width="27.140625" style="714" bestFit="1" customWidth="1"/>
    <col min="132" max="132" width="26.140625" style="714" bestFit="1" customWidth="1"/>
    <col min="133" max="133" width="27.140625" style="714" bestFit="1" customWidth="1"/>
    <col min="134" max="134" width="26.28515625" style="714" bestFit="1" customWidth="1"/>
    <col min="135" max="135" width="25.140625" style="714" bestFit="1" customWidth="1"/>
    <col min="136" max="136" width="26.28515625" style="714" bestFit="1" customWidth="1"/>
    <col min="137" max="16384" width="9.140625" style="714"/>
  </cols>
  <sheetData>
    <row r="1" spans="1:138" x14ac:dyDescent="0.25">
      <c r="A1" s="1455" t="s">
        <v>820</v>
      </c>
      <c r="B1" s="1455" t="s">
        <v>821</v>
      </c>
      <c r="E1" s="1455" t="s">
        <v>981</v>
      </c>
      <c r="F1" s="1455" t="s">
        <v>982</v>
      </c>
      <c r="G1" s="1455" t="s">
        <v>983</v>
      </c>
      <c r="H1" s="1455" t="s">
        <v>984</v>
      </c>
      <c r="I1" s="1455" t="s">
        <v>985</v>
      </c>
      <c r="J1" s="1455" t="s">
        <v>986</v>
      </c>
      <c r="K1" s="1455" t="s">
        <v>987</v>
      </c>
      <c r="L1" s="1455" t="s">
        <v>988</v>
      </c>
      <c r="M1" s="1455" t="s">
        <v>989</v>
      </c>
      <c r="N1" s="1455" t="s">
        <v>990</v>
      </c>
      <c r="O1" s="1455" t="s">
        <v>991</v>
      </c>
      <c r="P1" s="1455" t="s">
        <v>992</v>
      </c>
      <c r="Q1" s="1455" t="s">
        <v>993</v>
      </c>
      <c r="R1" s="1455" t="s">
        <v>994</v>
      </c>
      <c r="S1" s="1455" t="s">
        <v>995</v>
      </c>
      <c r="T1" s="1455" t="s">
        <v>996</v>
      </c>
      <c r="U1" s="1455" t="s">
        <v>997</v>
      </c>
      <c r="V1" s="1455" t="s">
        <v>998</v>
      </c>
      <c r="W1" s="1455" t="s">
        <v>999</v>
      </c>
      <c r="X1" s="1455" t="s">
        <v>1000</v>
      </c>
      <c r="Y1" s="1455" t="s">
        <v>1001</v>
      </c>
      <c r="Z1" s="1455" t="s">
        <v>1002</v>
      </c>
      <c r="AA1" s="1455" t="s">
        <v>1003</v>
      </c>
      <c r="AB1" s="1455" t="s">
        <v>1004</v>
      </c>
      <c r="AC1" s="1455" t="s">
        <v>1005</v>
      </c>
      <c r="AD1" s="1455" t="s">
        <v>1006</v>
      </c>
      <c r="AE1" s="1455" t="s">
        <v>1007</v>
      </c>
      <c r="AF1" s="1455" t="s">
        <v>1008</v>
      </c>
      <c r="AG1" s="1455" t="s">
        <v>1009</v>
      </c>
      <c r="AH1" s="1455" t="s">
        <v>1010</v>
      </c>
      <c r="AI1" s="1455" t="s">
        <v>1011</v>
      </c>
      <c r="AJ1" s="1455" t="s">
        <v>1012</v>
      </c>
      <c r="AK1" s="1455" t="s">
        <v>1013</v>
      </c>
      <c r="AL1" s="1455" t="s">
        <v>1014</v>
      </c>
      <c r="AM1" s="1455" t="s">
        <v>1015</v>
      </c>
      <c r="AN1" s="1455" t="s">
        <v>1016</v>
      </c>
      <c r="AO1" s="1455" t="s">
        <v>1017</v>
      </c>
      <c r="AP1" s="1455" t="s">
        <v>1018</v>
      </c>
      <c r="AQ1" s="1455" t="s">
        <v>1019</v>
      </c>
      <c r="AR1" s="1455" t="s">
        <v>1020</v>
      </c>
      <c r="AS1" s="1455" t="s">
        <v>1021</v>
      </c>
      <c r="AT1" s="1455" t="s">
        <v>1022</v>
      </c>
      <c r="AU1" s="1455" t="s">
        <v>1023</v>
      </c>
      <c r="AV1" s="1455" t="s">
        <v>1024</v>
      </c>
      <c r="AW1" s="1455" t="s">
        <v>1025</v>
      </c>
      <c r="AX1" s="1455" t="s">
        <v>1026</v>
      </c>
      <c r="AY1" s="1455" t="s">
        <v>1027</v>
      </c>
      <c r="AZ1" s="1455" t="s">
        <v>1028</v>
      </c>
      <c r="BA1" s="1455" t="s">
        <v>1029</v>
      </c>
      <c r="BB1" s="1455" t="s">
        <v>1030</v>
      </c>
      <c r="BC1" s="1455" t="s">
        <v>1031</v>
      </c>
      <c r="BD1" s="1455" t="s">
        <v>1032</v>
      </c>
      <c r="BE1" s="1455" t="s">
        <v>1033</v>
      </c>
      <c r="BF1" s="1455" t="s">
        <v>1034</v>
      </c>
      <c r="BG1" s="1455" t="s">
        <v>1035</v>
      </c>
      <c r="BH1" s="1455" t="s">
        <v>1036</v>
      </c>
      <c r="BI1" s="1455" t="s">
        <v>1037</v>
      </c>
      <c r="BJ1" s="1455" t="s">
        <v>1038</v>
      </c>
      <c r="BK1" s="1455" t="s">
        <v>1039</v>
      </c>
      <c r="BL1" s="1455" t="s">
        <v>1040</v>
      </c>
      <c r="BM1" s="1455" t="s">
        <v>1041</v>
      </c>
      <c r="BN1" s="1455" t="s">
        <v>1042</v>
      </c>
      <c r="BO1" s="1455" t="s">
        <v>1043</v>
      </c>
      <c r="BP1" s="1455" t="s">
        <v>1044</v>
      </c>
      <c r="BQ1" s="1455" t="s">
        <v>1045</v>
      </c>
      <c r="BR1" s="1455" t="s">
        <v>1046</v>
      </c>
      <c r="BS1" s="1455" t="s">
        <v>1047</v>
      </c>
      <c r="BT1" s="1455" t="s">
        <v>1048</v>
      </c>
      <c r="BU1" s="1455" t="s">
        <v>1049</v>
      </c>
      <c r="BV1" s="1455" t="s">
        <v>1050</v>
      </c>
      <c r="BW1" s="1455" t="s">
        <v>1051</v>
      </c>
      <c r="BX1" s="1455" t="s">
        <v>1052</v>
      </c>
      <c r="BY1" s="1455" t="s">
        <v>1053</v>
      </c>
      <c r="BZ1" s="1455" t="s">
        <v>1054</v>
      </c>
      <c r="CA1" s="1455" t="s">
        <v>1055</v>
      </c>
      <c r="CB1" s="1455" t="s">
        <v>1056</v>
      </c>
      <c r="CC1" s="1455" t="s">
        <v>1057</v>
      </c>
      <c r="CD1" s="1455" t="s">
        <v>1058</v>
      </c>
      <c r="CE1" s="1455" t="s">
        <v>1059</v>
      </c>
      <c r="CF1" s="1455" t="s">
        <v>1060</v>
      </c>
      <c r="CG1" s="1455" t="s">
        <v>1061</v>
      </c>
      <c r="CH1" s="1455" t="s">
        <v>1062</v>
      </c>
      <c r="CI1" s="1455" t="s">
        <v>1063</v>
      </c>
      <c r="CJ1" s="1455" t="s">
        <v>1064</v>
      </c>
      <c r="CK1" s="1455" t="s">
        <v>1065</v>
      </c>
      <c r="CL1" s="1455" t="s">
        <v>1066</v>
      </c>
      <c r="CM1" s="1455" t="s">
        <v>1067</v>
      </c>
      <c r="CN1" s="1455" t="s">
        <v>1068</v>
      </c>
      <c r="CO1" s="1455" t="s">
        <v>1069</v>
      </c>
      <c r="CP1" s="1455" t="s">
        <v>1070</v>
      </c>
      <c r="CQ1" s="1455" t="s">
        <v>1071</v>
      </c>
      <c r="CR1" s="1455" t="s">
        <v>1072</v>
      </c>
      <c r="CS1" s="1455" t="s">
        <v>1073</v>
      </c>
      <c r="CT1" s="1455" t="s">
        <v>1074</v>
      </c>
      <c r="CU1" s="1455" t="s">
        <v>1075</v>
      </c>
      <c r="CV1" s="1455" t="s">
        <v>1076</v>
      </c>
      <c r="CW1" s="1455" t="s">
        <v>1077</v>
      </c>
      <c r="CX1" s="1455" t="s">
        <v>1078</v>
      </c>
      <c r="CY1" s="1455" t="s">
        <v>1079</v>
      </c>
      <c r="CZ1" s="1455" t="s">
        <v>1080</v>
      </c>
      <c r="DA1" s="1455" t="s">
        <v>1081</v>
      </c>
      <c r="DB1" s="1455" t="s">
        <v>1082</v>
      </c>
      <c r="DC1" s="1455" t="s">
        <v>1083</v>
      </c>
      <c r="DD1" s="1455" t="s">
        <v>1084</v>
      </c>
      <c r="DE1" s="1455" t="s">
        <v>1085</v>
      </c>
      <c r="DF1" s="1455" t="s">
        <v>1086</v>
      </c>
      <c r="DG1" s="1455" t="s">
        <v>1087</v>
      </c>
      <c r="DH1" s="1455" t="s">
        <v>1088</v>
      </c>
      <c r="DI1" s="1455" t="s">
        <v>1089</v>
      </c>
      <c r="DJ1" s="1455" t="s">
        <v>1090</v>
      </c>
      <c r="DK1" s="1455" t="s">
        <v>1091</v>
      </c>
      <c r="DL1" s="1455" t="s">
        <v>1092</v>
      </c>
      <c r="DM1" s="1455" t="s">
        <v>1093</v>
      </c>
      <c r="DN1" s="1455" t="s">
        <v>1094</v>
      </c>
      <c r="DO1" s="1455" t="s">
        <v>1095</v>
      </c>
      <c r="DP1" s="1455" t="s">
        <v>1096</v>
      </c>
      <c r="DQ1" s="1455" t="s">
        <v>1097</v>
      </c>
      <c r="DR1" s="1455" t="s">
        <v>1098</v>
      </c>
      <c r="DS1" s="1455" t="s">
        <v>1099</v>
      </c>
      <c r="DT1" s="1455" t="s">
        <v>1100</v>
      </c>
      <c r="DU1" s="1455" t="s">
        <v>1101</v>
      </c>
      <c r="DV1" s="1455" t="s">
        <v>1102</v>
      </c>
      <c r="DW1" s="1455" t="s">
        <v>1103</v>
      </c>
      <c r="DX1" s="1455" t="s">
        <v>1104</v>
      </c>
      <c r="DY1" s="1455" t="s">
        <v>1105</v>
      </c>
      <c r="DZ1" s="1455" t="s">
        <v>1106</v>
      </c>
      <c r="EA1" s="1455" t="s">
        <v>1107</v>
      </c>
      <c r="EB1" s="1455" t="s">
        <v>1108</v>
      </c>
      <c r="EC1" s="1455" t="s">
        <v>1109</v>
      </c>
      <c r="ED1" s="1455" t="s">
        <v>1110</v>
      </c>
      <c r="EE1" s="1455" t="s">
        <v>1111</v>
      </c>
      <c r="EF1" s="1455" t="s">
        <v>1112</v>
      </c>
    </row>
    <row r="2" spans="1:138" s="1457" customFormat="1" x14ac:dyDescent="0.25">
      <c r="A2" s="1456" t="s">
        <v>541</v>
      </c>
      <c r="B2" s="1456" t="s">
        <v>541</v>
      </c>
      <c r="E2" s="714" t="s">
        <v>548</v>
      </c>
      <c r="F2" s="1457" t="s">
        <v>548</v>
      </c>
      <c r="G2" s="1457" t="s">
        <v>548</v>
      </c>
      <c r="H2" s="714">
        <v>0</v>
      </c>
      <c r="I2" s="1457" t="s">
        <v>548</v>
      </c>
      <c r="J2" s="1457" t="s">
        <v>548</v>
      </c>
      <c r="K2" s="714" t="s">
        <v>548</v>
      </c>
      <c r="L2" s="714" t="s">
        <v>548</v>
      </c>
      <c r="M2" s="714" t="s">
        <v>548</v>
      </c>
      <c r="N2" s="1457" t="s">
        <v>548</v>
      </c>
      <c r="O2" s="1457" t="s">
        <v>548</v>
      </c>
      <c r="P2" s="1457" t="s">
        <v>548</v>
      </c>
      <c r="Q2" s="1457" t="s">
        <v>548</v>
      </c>
      <c r="R2" s="1457" t="s">
        <v>548</v>
      </c>
      <c r="S2" s="1457" t="s">
        <v>548</v>
      </c>
      <c r="T2" s="714">
        <v>0</v>
      </c>
      <c r="U2" s="714">
        <v>0</v>
      </c>
      <c r="V2" s="714">
        <v>0</v>
      </c>
      <c r="W2" s="714">
        <v>0</v>
      </c>
      <c r="X2" s="714">
        <v>0</v>
      </c>
      <c r="Y2" s="714">
        <v>0</v>
      </c>
      <c r="Z2" s="714">
        <v>0</v>
      </c>
      <c r="AA2" s="714">
        <v>0</v>
      </c>
      <c r="AB2" s="714">
        <v>0</v>
      </c>
      <c r="AC2" s="714" t="s">
        <v>548</v>
      </c>
      <c r="AD2" s="714" t="s">
        <v>548</v>
      </c>
      <c r="AE2" s="714" t="s">
        <v>548</v>
      </c>
      <c r="AF2" s="714" t="s">
        <v>548</v>
      </c>
      <c r="AG2" s="714" t="s">
        <v>548</v>
      </c>
      <c r="AH2" s="714" t="s">
        <v>548</v>
      </c>
      <c r="AI2" s="714" t="s">
        <v>548</v>
      </c>
      <c r="AJ2" s="714" t="s">
        <v>548</v>
      </c>
      <c r="AK2" s="714" t="s">
        <v>548</v>
      </c>
      <c r="AL2" s="714" t="s">
        <v>548</v>
      </c>
      <c r="AM2" s="714" t="s">
        <v>548</v>
      </c>
      <c r="AN2" s="714" t="s">
        <v>548</v>
      </c>
      <c r="AO2" s="714">
        <v>0</v>
      </c>
      <c r="AP2" s="714" t="s">
        <v>548</v>
      </c>
      <c r="AQ2" s="714" t="s">
        <v>548</v>
      </c>
      <c r="AR2" s="714">
        <v>0</v>
      </c>
      <c r="AS2" s="714" t="s">
        <v>548</v>
      </c>
      <c r="AT2" s="714" t="s">
        <v>548</v>
      </c>
      <c r="AU2" s="714" t="s">
        <v>548</v>
      </c>
      <c r="AV2" s="714">
        <v>0</v>
      </c>
      <c r="AW2" s="714">
        <v>0</v>
      </c>
      <c r="AX2" s="714" t="s">
        <v>548</v>
      </c>
      <c r="AY2" s="714">
        <v>0</v>
      </c>
      <c r="AZ2" s="714">
        <v>0</v>
      </c>
      <c r="BA2" s="714" t="s">
        <v>548</v>
      </c>
      <c r="BB2" s="714" t="s">
        <v>548</v>
      </c>
      <c r="BC2" s="714" t="s">
        <v>548</v>
      </c>
      <c r="BD2" s="714" t="s">
        <v>548</v>
      </c>
      <c r="BE2" s="714" t="s">
        <v>548</v>
      </c>
      <c r="BF2" s="714" t="s">
        <v>548</v>
      </c>
      <c r="BG2" s="714" t="s">
        <v>548</v>
      </c>
      <c r="BH2" s="714">
        <v>0</v>
      </c>
      <c r="BI2" s="714">
        <v>0</v>
      </c>
      <c r="BJ2" s="714" t="s">
        <v>548</v>
      </c>
      <c r="BK2" s="714">
        <v>0</v>
      </c>
      <c r="BL2" s="714">
        <v>0</v>
      </c>
      <c r="BM2" s="714" t="s">
        <v>548</v>
      </c>
      <c r="BN2" s="714">
        <v>0</v>
      </c>
      <c r="BO2" s="714">
        <v>0</v>
      </c>
      <c r="BP2" s="714" t="s">
        <v>548</v>
      </c>
      <c r="BQ2" s="714">
        <v>0</v>
      </c>
      <c r="BR2" s="714">
        <v>0</v>
      </c>
      <c r="BS2" s="714" t="s">
        <v>548</v>
      </c>
      <c r="BT2" s="714">
        <v>0</v>
      </c>
      <c r="BU2" s="714">
        <v>0</v>
      </c>
      <c r="BV2" s="714" t="s">
        <v>548</v>
      </c>
      <c r="BW2" s="714">
        <v>0</v>
      </c>
      <c r="BX2" s="714">
        <v>0</v>
      </c>
      <c r="BY2" s="1458" t="s">
        <v>548</v>
      </c>
      <c r="BZ2" s="1459">
        <v>0</v>
      </c>
      <c r="CA2" s="1459">
        <v>0</v>
      </c>
      <c r="CB2" s="1458" t="s">
        <v>548</v>
      </c>
      <c r="CC2" s="1459">
        <v>0</v>
      </c>
      <c r="CD2" s="1459">
        <v>0</v>
      </c>
      <c r="CE2" s="1458" t="s">
        <v>548</v>
      </c>
      <c r="CF2" s="1459">
        <v>0</v>
      </c>
      <c r="CG2" s="1459">
        <v>0</v>
      </c>
      <c r="CH2" s="1458" t="s">
        <v>548</v>
      </c>
      <c r="CI2" s="1459">
        <v>0</v>
      </c>
      <c r="CJ2" s="1459">
        <v>0</v>
      </c>
      <c r="CK2" s="1458" t="s">
        <v>548</v>
      </c>
      <c r="CL2" s="1459">
        <v>0</v>
      </c>
      <c r="CM2" s="1459">
        <v>0</v>
      </c>
      <c r="CN2" s="1458" t="s">
        <v>548</v>
      </c>
      <c r="CO2" s="1459">
        <v>0</v>
      </c>
      <c r="CP2" s="1459">
        <v>0</v>
      </c>
      <c r="CQ2" s="714" t="s">
        <v>548</v>
      </c>
      <c r="CR2" s="1459">
        <v>0</v>
      </c>
      <c r="CS2" s="1459">
        <v>0</v>
      </c>
      <c r="CT2" s="714" t="s">
        <v>548</v>
      </c>
      <c r="CU2" s="1459">
        <v>0</v>
      </c>
      <c r="CV2" s="1459">
        <v>0</v>
      </c>
      <c r="CW2" s="714" t="s">
        <v>548</v>
      </c>
      <c r="CX2" s="714" t="s">
        <v>548</v>
      </c>
      <c r="CY2" s="714" t="s">
        <v>548</v>
      </c>
      <c r="CZ2" s="714" t="s">
        <v>548</v>
      </c>
      <c r="DA2" s="714" t="s">
        <v>548</v>
      </c>
      <c r="DB2" s="714" t="s">
        <v>548</v>
      </c>
      <c r="DC2" s="714" t="s">
        <v>548</v>
      </c>
      <c r="DD2" s="714">
        <v>0</v>
      </c>
      <c r="DE2" s="714" t="s">
        <v>548</v>
      </c>
      <c r="DF2" s="714" t="s">
        <v>548</v>
      </c>
      <c r="DG2" s="714">
        <v>0</v>
      </c>
      <c r="DH2" s="714" t="s">
        <v>548</v>
      </c>
      <c r="DI2" s="714" t="s">
        <v>548</v>
      </c>
      <c r="DJ2" s="714" t="s">
        <v>548</v>
      </c>
      <c r="DK2" s="714" t="s">
        <v>548</v>
      </c>
      <c r="DL2" s="714" t="s">
        <v>548</v>
      </c>
      <c r="DM2" s="714" t="s">
        <v>548</v>
      </c>
      <c r="DN2" s="714" t="s">
        <v>548</v>
      </c>
      <c r="DO2" s="714" t="s">
        <v>548</v>
      </c>
      <c r="DP2" s="714">
        <v>0</v>
      </c>
      <c r="DQ2" s="714">
        <v>0</v>
      </c>
      <c r="DR2" s="714" t="s">
        <v>548</v>
      </c>
      <c r="DS2" s="714">
        <v>0</v>
      </c>
      <c r="DT2" s="714">
        <v>0</v>
      </c>
      <c r="DU2" s="714" t="s">
        <v>548</v>
      </c>
      <c r="DV2" s="714" t="s">
        <v>548</v>
      </c>
      <c r="DW2" s="714" t="s">
        <v>548</v>
      </c>
      <c r="DX2" s="714" t="s">
        <v>548</v>
      </c>
      <c r="DY2" s="714" t="s">
        <v>548</v>
      </c>
      <c r="DZ2" s="714" t="s">
        <v>548</v>
      </c>
      <c r="EA2" s="714">
        <v>0</v>
      </c>
      <c r="EB2" s="714" t="s">
        <v>548</v>
      </c>
      <c r="EC2" s="714">
        <v>0</v>
      </c>
      <c r="ED2" s="714">
        <v>0</v>
      </c>
      <c r="EE2" s="714" t="s">
        <v>548</v>
      </c>
      <c r="EF2" s="714">
        <v>0</v>
      </c>
      <c r="EG2" s="714"/>
      <c r="EH2" s="714"/>
    </row>
    <row r="3" spans="1:138" x14ac:dyDescent="0.25">
      <c r="A3" s="714" t="s">
        <v>827</v>
      </c>
      <c r="B3" s="714" t="s">
        <v>28</v>
      </c>
      <c r="E3" s="714" t="s">
        <v>581</v>
      </c>
      <c r="H3" s="714">
        <v>2</v>
      </c>
      <c r="K3" s="714" t="s">
        <v>581</v>
      </c>
      <c r="L3" s="714" t="s">
        <v>581</v>
      </c>
      <c r="M3" s="714" t="s">
        <v>581</v>
      </c>
      <c r="Q3" s="714">
        <v>3</v>
      </c>
      <c r="R3" s="714">
        <v>3</v>
      </c>
      <c r="S3" s="714">
        <v>3</v>
      </c>
      <c r="T3" s="714">
        <v>3</v>
      </c>
      <c r="U3" s="714">
        <v>3</v>
      </c>
      <c r="V3" s="714">
        <v>3</v>
      </c>
      <c r="W3" s="714">
        <v>2</v>
      </c>
      <c r="X3" s="714">
        <v>4</v>
      </c>
      <c r="Y3" s="714">
        <v>4</v>
      </c>
      <c r="Z3" s="714">
        <v>2</v>
      </c>
      <c r="AA3" s="714">
        <v>4</v>
      </c>
      <c r="AB3" s="714">
        <v>4</v>
      </c>
      <c r="AC3" s="714" t="s">
        <v>581</v>
      </c>
      <c r="AF3" s="714" t="s">
        <v>581</v>
      </c>
      <c r="AJ3" s="714" t="s">
        <v>581</v>
      </c>
      <c r="AK3" s="714" t="s">
        <v>581</v>
      </c>
      <c r="AM3" s="714" t="s">
        <v>581</v>
      </c>
      <c r="AN3" s="714" t="s">
        <v>581</v>
      </c>
      <c r="AO3" s="714">
        <v>5</v>
      </c>
      <c r="AR3" s="714">
        <v>5</v>
      </c>
      <c r="AV3" s="714">
        <v>5</v>
      </c>
      <c r="AW3" s="714">
        <v>5</v>
      </c>
      <c r="AY3" s="714">
        <v>5</v>
      </c>
      <c r="AZ3" s="714">
        <v>5</v>
      </c>
      <c r="BA3" s="714" t="s">
        <v>581</v>
      </c>
      <c r="BD3" s="714" t="s">
        <v>581</v>
      </c>
      <c r="BH3" s="714">
        <v>2</v>
      </c>
      <c r="BI3" s="714">
        <v>2</v>
      </c>
      <c r="BK3" s="714">
        <v>2</v>
      </c>
      <c r="BL3" s="714">
        <v>2</v>
      </c>
      <c r="BN3" s="714">
        <v>1</v>
      </c>
      <c r="BO3" s="714">
        <v>1</v>
      </c>
      <c r="BQ3" s="714">
        <v>1</v>
      </c>
      <c r="BR3" s="714">
        <v>1</v>
      </c>
      <c r="BT3" s="714">
        <v>1</v>
      </c>
      <c r="BU3" s="714">
        <v>1</v>
      </c>
      <c r="BW3" s="714">
        <v>1</v>
      </c>
      <c r="BX3" s="714">
        <v>1</v>
      </c>
      <c r="BY3" s="1458"/>
      <c r="BZ3" s="1459">
        <v>2</v>
      </c>
      <c r="CA3" s="1459">
        <v>2</v>
      </c>
      <c r="CB3" s="1458"/>
      <c r="CC3" s="1459">
        <v>2</v>
      </c>
      <c r="CD3" s="1459">
        <v>2</v>
      </c>
      <c r="CF3" s="1459">
        <v>3</v>
      </c>
      <c r="CG3" s="1459">
        <v>3</v>
      </c>
      <c r="CI3" s="1459">
        <v>3</v>
      </c>
      <c r="CJ3" s="1459">
        <v>3</v>
      </c>
      <c r="CL3" s="1459">
        <v>10</v>
      </c>
      <c r="CM3" s="1459">
        <v>10</v>
      </c>
      <c r="CO3" s="1459">
        <v>10</v>
      </c>
      <c r="CP3" s="1459">
        <v>10</v>
      </c>
      <c r="CR3" s="1459">
        <v>2</v>
      </c>
      <c r="CS3" s="1459">
        <v>2</v>
      </c>
      <c r="CU3" s="1459">
        <v>2</v>
      </c>
      <c r="CV3" s="1459">
        <v>2</v>
      </c>
      <c r="CW3" s="714" t="s">
        <v>581</v>
      </c>
      <c r="CY3" s="714" t="s">
        <v>581</v>
      </c>
      <c r="CZ3" s="714" t="s">
        <v>581</v>
      </c>
      <c r="DB3" s="714" t="s">
        <v>581</v>
      </c>
      <c r="DD3" s="714">
        <v>3</v>
      </c>
      <c r="DG3" s="714">
        <v>3</v>
      </c>
      <c r="DI3" s="714" t="s">
        <v>581</v>
      </c>
      <c r="DL3" s="714" t="s">
        <v>581</v>
      </c>
      <c r="DP3" s="714">
        <v>3</v>
      </c>
      <c r="DQ3" s="714">
        <v>3</v>
      </c>
      <c r="DS3" s="714">
        <v>3</v>
      </c>
      <c r="DT3" s="714">
        <v>3</v>
      </c>
      <c r="DU3" s="714" t="s">
        <v>581</v>
      </c>
      <c r="DX3" s="714" t="s">
        <v>581</v>
      </c>
      <c r="EA3" s="714">
        <v>2</v>
      </c>
      <c r="EC3" s="714">
        <v>2</v>
      </c>
      <c r="ED3" s="714">
        <v>2</v>
      </c>
      <c r="EF3" s="714">
        <v>2</v>
      </c>
    </row>
    <row r="4" spans="1:138" x14ac:dyDescent="0.25">
      <c r="A4" s="714" t="s">
        <v>826</v>
      </c>
      <c r="B4" s="714" t="s">
        <v>975</v>
      </c>
      <c r="Q4" s="714">
        <v>5</v>
      </c>
      <c r="R4" s="714">
        <v>5</v>
      </c>
      <c r="S4" s="714">
        <v>5</v>
      </c>
      <c r="T4" s="714">
        <v>5</v>
      </c>
      <c r="U4" s="714">
        <v>5</v>
      </c>
      <c r="V4" s="714">
        <v>5</v>
      </c>
      <c r="AO4" s="714">
        <v>10</v>
      </c>
      <c r="AR4" s="714">
        <v>10</v>
      </c>
      <c r="BN4" s="714">
        <v>2</v>
      </c>
      <c r="BO4" s="714">
        <v>2</v>
      </c>
      <c r="BQ4" s="714">
        <v>2</v>
      </c>
      <c r="BR4" s="714">
        <v>2</v>
      </c>
      <c r="BT4" s="714">
        <v>2</v>
      </c>
      <c r="BU4" s="714">
        <v>2</v>
      </c>
      <c r="BW4" s="714">
        <v>2</v>
      </c>
      <c r="BX4" s="714">
        <v>2</v>
      </c>
      <c r="BY4" s="1458"/>
      <c r="BZ4" s="1459">
        <v>5</v>
      </c>
      <c r="CA4" s="1459">
        <v>5</v>
      </c>
      <c r="CB4" s="1458"/>
      <c r="CC4" s="1459">
        <v>5</v>
      </c>
      <c r="CD4" s="1459">
        <v>5</v>
      </c>
      <c r="CF4" s="1459">
        <v>7</v>
      </c>
      <c r="CG4" s="1459">
        <v>7</v>
      </c>
      <c r="CI4" s="1459">
        <v>7</v>
      </c>
      <c r="CJ4" s="1459">
        <v>7</v>
      </c>
      <c r="CR4" s="714">
        <v>5</v>
      </c>
      <c r="CS4" s="714">
        <v>5</v>
      </c>
      <c r="CU4" s="714">
        <v>5</v>
      </c>
      <c r="CV4" s="714">
        <v>5</v>
      </c>
      <c r="EA4" s="714">
        <v>3</v>
      </c>
      <c r="EC4" s="714">
        <v>3</v>
      </c>
      <c r="ED4" s="714">
        <v>3</v>
      </c>
      <c r="EF4" s="714">
        <v>3</v>
      </c>
    </row>
    <row r="5" spans="1:138" x14ac:dyDescent="0.25">
      <c r="B5" s="714" t="s">
        <v>951</v>
      </c>
      <c r="AO5" s="714">
        <v>15</v>
      </c>
      <c r="AR5" s="714">
        <v>15</v>
      </c>
      <c r="BN5" s="714">
        <v>3</v>
      </c>
      <c r="BO5" s="714">
        <v>3</v>
      </c>
      <c r="BQ5" s="714">
        <v>3</v>
      </c>
      <c r="BR5" s="714">
        <v>3</v>
      </c>
      <c r="BT5" s="714">
        <v>3</v>
      </c>
      <c r="BU5" s="714">
        <v>3</v>
      </c>
      <c r="BW5" s="714">
        <v>3</v>
      </c>
      <c r="BX5" s="714">
        <v>3</v>
      </c>
      <c r="BY5" s="1458"/>
      <c r="BZ5" s="1458"/>
      <c r="CA5" s="1458"/>
      <c r="CB5" s="1458"/>
      <c r="CC5" s="1458"/>
      <c r="CD5" s="1458"/>
      <c r="CR5" s="714">
        <v>7</v>
      </c>
      <c r="CS5" s="714">
        <v>7</v>
      </c>
      <c r="CU5" s="714">
        <v>7</v>
      </c>
      <c r="CV5" s="714">
        <v>7</v>
      </c>
      <c r="EA5" s="714">
        <v>4</v>
      </c>
      <c r="EC5" s="714">
        <v>4</v>
      </c>
      <c r="ED5" s="714">
        <v>4</v>
      </c>
      <c r="EF5" s="714">
        <v>4</v>
      </c>
    </row>
    <row r="6" spans="1:138" x14ac:dyDescent="0.25">
      <c r="B6" s="714" t="s">
        <v>951</v>
      </c>
      <c r="AO6" s="714">
        <v>20</v>
      </c>
      <c r="AR6" s="714">
        <v>20</v>
      </c>
      <c r="BN6" s="714">
        <v>4</v>
      </c>
      <c r="BO6" s="714">
        <v>4</v>
      </c>
      <c r="BQ6" s="714">
        <v>4</v>
      </c>
      <c r="BR6" s="714">
        <v>4</v>
      </c>
      <c r="BT6" s="714">
        <v>4</v>
      </c>
      <c r="BU6" s="714">
        <v>4</v>
      </c>
      <c r="BW6" s="714">
        <v>4</v>
      </c>
      <c r="BX6" s="714">
        <v>4</v>
      </c>
      <c r="BY6" s="1458"/>
      <c r="BZ6" s="1458"/>
      <c r="CA6" s="1458"/>
      <c r="CB6" s="1458"/>
      <c r="CC6" s="1458"/>
      <c r="CD6" s="1458"/>
      <c r="EA6" s="714">
        <v>5</v>
      </c>
      <c r="EC6" s="714">
        <v>5</v>
      </c>
      <c r="ED6" s="714">
        <v>5</v>
      </c>
      <c r="EF6" s="714">
        <v>5</v>
      </c>
    </row>
    <row r="7" spans="1:138" x14ac:dyDescent="0.25">
      <c r="AO7" s="714">
        <v>25</v>
      </c>
      <c r="AR7" s="714">
        <v>25</v>
      </c>
      <c r="BN7" s="714">
        <v>5</v>
      </c>
      <c r="BO7" s="714">
        <v>5</v>
      </c>
      <c r="BQ7" s="714">
        <v>5</v>
      </c>
      <c r="BR7" s="714">
        <v>5</v>
      </c>
      <c r="BT7" s="714">
        <v>5</v>
      </c>
      <c r="BU7" s="714">
        <v>5</v>
      </c>
      <c r="BW7" s="714">
        <v>5</v>
      </c>
      <c r="BX7" s="714">
        <v>5</v>
      </c>
      <c r="BY7" s="1458"/>
      <c r="BZ7" s="1458"/>
      <c r="CA7" s="1458"/>
      <c r="CB7" s="1458"/>
      <c r="CC7" s="1458"/>
      <c r="CD7" s="1458"/>
      <c r="EA7" s="714">
        <v>6</v>
      </c>
      <c r="EC7" s="714">
        <v>6</v>
      </c>
      <c r="ED7" s="714">
        <v>6</v>
      </c>
      <c r="EF7" s="714">
        <v>6</v>
      </c>
    </row>
    <row r="8" spans="1:138" x14ac:dyDescent="0.25">
      <c r="BN8" s="714">
        <v>6</v>
      </c>
      <c r="BO8" s="714">
        <v>6</v>
      </c>
      <c r="BQ8" s="714">
        <v>6</v>
      </c>
      <c r="BR8" s="714">
        <v>6</v>
      </c>
      <c r="BT8" s="714">
        <v>6</v>
      </c>
      <c r="BU8" s="714">
        <v>6</v>
      </c>
      <c r="BW8" s="714">
        <v>6</v>
      </c>
      <c r="BX8" s="714">
        <v>6</v>
      </c>
      <c r="BY8" s="1458"/>
      <c r="BZ8" s="1458"/>
      <c r="CA8" s="1458"/>
      <c r="CB8" s="1458"/>
      <c r="CC8" s="1458"/>
      <c r="CD8" s="1458"/>
      <c r="EA8" s="714">
        <v>7</v>
      </c>
      <c r="EC8" s="714">
        <v>7</v>
      </c>
      <c r="ED8" s="714">
        <v>7</v>
      </c>
      <c r="EF8" s="714">
        <v>7</v>
      </c>
    </row>
    <row r="9" spans="1:138" x14ac:dyDescent="0.25">
      <c r="BN9" s="714">
        <v>7</v>
      </c>
      <c r="BO9" s="714">
        <v>7</v>
      </c>
      <c r="BQ9" s="714">
        <v>7</v>
      </c>
      <c r="BR9" s="714">
        <v>7</v>
      </c>
      <c r="BT9" s="714">
        <v>7</v>
      </c>
      <c r="BU9" s="714">
        <v>7</v>
      </c>
      <c r="BW9" s="714">
        <v>7</v>
      </c>
      <c r="BX9" s="714">
        <v>7</v>
      </c>
      <c r="BY9" s="1458"/>
      <c r="BZ9" s="1458"/>
      <c r="CA9" s="1458"/>
      <c r="CB9" s="1458"/>
      <c r="CC9" s="1458"/>
      <c r="CD9" s="1458"/>
      <c r="EA9" s="714">
        <v>8</v>
      </c>
      <c r="EC9" s="714">
        <v>8</v>
      </c>
      <c r="ED9" s="714">
        <v>8</v>
      </c>
      <c r="EF9" s="714">
        <v>8</v>
      </c>
    </row>
    <row r="10" spans="1:138" x14ac:dyDescent="0.25">
      <c r="BN10" s="714">
        <v>8</v>
      </c>
      <c r="BO10" s="714">
        <v>8</v>
      </c>
      <c r="BQ10" s="714">
        <v>8</v>
      </c>
      <c r="BR10" s="714">
        <v>8</v>
      </c>
      <c r="BT10" s="714">
        <v>8</v>
      </c>
      <c r="BU10" s="714">
        <v>8</v>
      </c>
      <c r="BW10" s="714">
        <v>8</v>
      </c>
      <c r="BX10" s="714">
        <v>8</v>
      </c>
      <c r="BY10" s="1458"/>
      <c r="BZ10" s="1458"/>
      <c r="CA10" s="1458"/>
      <c r="CB10" s="1458"/>
      <c r="CC10" s="1458"/>
      <c r="CD10" s="1458"/>
      <c r="EC10" s="714">
        <v>10</v>
      </c>
      <c r="EF10" s="714">
        <v>10</v>
      </c>
    </row>
    <row r="11" spans="1:138" x14ac:dyDescent="0.25">
      <c r="BN11" s="714">
        <v>9</v>
      </c>
      <c r="BO11" s="714">
        <v>9</v>
      </c>
      <c r="BQ11" s="714">
        <v>9</v>
      </c>
      <c r="BR11" s="714">
        <v>9</v>
      </c>
      <c r="BT11" s="714">
        <v>9</v>
      </c>
      <c r="BU11" s="714">
        <v>9</v>
      </c>
      <c r="BW11" s="714">
        <v>9</v>
      </c>
      <c r="BX11" s="714">
        <v>9</v>
      </c>
      <c r="BY11" s="1458"/>
      <c r="BZ11" s="1458"/>
      <c r="CA11" s="1458"/>
      <c r="CB11" s="1458"/>
      <c r="CC11" s="1458"/>
      <c r="CD11" s="1458"/>
    </row>
    <row r="12" spans="1:138" x14ac:dyDescent="0.25">
      <c r="BN12" s="714">
        <v>10</v>
      </c>
      <c r="BO12" s="714">
        <v>10</v>
      </c>
      <c r="BQ12" s="714">
        <v>10</v>
      </c>
      <c r="BR12" s="714">
        <v>10</v>
      </c>
      <c r="BT12" s="714">
        <v>10</v>
      </c>
      <c r="BU12" s="714">
        <v>10</v>
      </c>
      <c r="BW12" s="714">
        <v>10</v>
      </c>
      <c r="BX12" s="714">
        <v>10</v>
      </c>
      <c r="BY12" s="1458"/>
      <c r="BZ12" s="1458"/>
      <c r="CA12" s="1458"/>
      <c r="CB12" s="1458"/>
      <c r="CC12" s="1458"/>
      <c r="CD12" s="1458"/>
    </row>
    <row r="13" spans="1:138" x14ac:dyDescent="0.25">
      <c r="BN13" s="714">
        <v>11</v>
      </c>
      <c r="BO13" s="714">
        <v>11</v>
      </c>
      <c r="BQ13" s="714">
        <v>11</v>
      </c>
      <c r="BR13" s="714">
        <v>11</v>
      </c>
      <c r="BY13" s="1458"/>
      <c r="BZ13" s="1458"/>
      <c r="CA13" s="1458"/>
      <c r="CB13" s="1458"/>
      <c r="CC13" s="1458"/>
      <c r="CD13" s="1458"/>
    </row>
    <row r="14" spans="1:138" x14ac:dyDescent="0.25">
      <c r="A14" s="714" t="s">
        <v>820</v>
      </c>
      <c r="B14" s="714" t="s">
        <v>821</v>
      </c>
      <c r="BN14" s="714">
        <v>12</v>
      </c>
      <c r="BO14" s="714">
        <v>12</v>
      </c>
      <c r="BQ14" s="714">
        <v>12</v>
      </c>
      <c r="BR14" s="714">
        <v>12</v>
      </c>
      <c r="BY14" s="1458"/>
      <c r="BZ14" s="1458"/>
      <c r="CA14" s="1458"/>
      <c r="CB14" s="1458"/>
      <c r="CC14" s="1458"/>
      <c r="CD14" s="1458"/>
    </row>
    <row r="15" spans="1:138" x14ac:dyDescent="0.25">
      <c r="A15" s="1460" t="s">
        <v>827</v>
      </c>
      <c r="B15" s="1460" t="s">
        <v>28</v>
      </c>
      <c r="BN15" s="714">
        <v>13</v>
      </c>
      <c r="BO15" s="714">
        <v>13</v>
      </c>
      <c r="BQ15" s="714">
        <v>13</v>
      </c>
      <c r="BR15" s="714">
        <v>13</v>
      </c>
      <c r="BY15" s="1458"/>
      <c r="BZ15" s="1458"/>
      <c r="CA15" s="1458"/>
      <c r="CB15" s="1458"/>
      <c r="CC15" s="1458"/>
      <c r="CD15" s="1458"/>
    </row>
    <row r="16" spans="1:138" x14ac:dyDescent="0.25">
      <c r="BN16" s="714">
        <v>14</v>
      </c>
      <c r="BO16" s="714">
        <v>14</v>
      </c>
      <c r="BQ16" s="714">
        <v>14</v>
      </c>
      <c r="BR16" s="714">
        <v>14</v>
      </c>
      <c r="BY16" s="1458"/>
      <c r="BZ16" s="1458"/>
      <c r="CA16" s="1458"/>
      <c r="CB16" s="1458"/>
      <c r="CC16" s="1458"/>
      <c r="CD16" s="1458"/>
    </row>
    <row r="17" spans="2:136" x14ac:dyDescent="0.25">
      <c r="B17" s="714">
        <v>2.2000000000000002</v>
      </c>
      <c r="C17" s="1460"/>
      <c r="BN17" s="714">
        <v>15</v>
      </c>
      <c r="BO17" s="714">
        <v>15</v>
      </c>
      <c r="BQ17" s="714">
        <v>15</v>
      </c>
      <c r="BR17" s="714">
        <v>15</v>
      </c>
      <c r="BY17" s="1458"/>
      <c r="BZ17" s="1458"/>
      <c r="CA17" s="1458"/>
      <c r="CB17" s="1458"/>
      <c r="CC17" s="1458"/>
      <c r="CD17" s="1458"/>
    </row>
    <row r="18" spans="2:136" x14ac:dyDescent="0.25">
      <c r="B18" s="714" t="s">
        <v>702</v>
      </c>
      <c r="BY18" s="1458"/>
      <c r="BZ18" s="1458"/>
      <c r="CA18" s="1458"/>
      <c r="CB18" s="1458"/>
      <c r="CC18" s="1458"/>
      <c r="CD18" s="1458"/>
    </row>
    <row r="19" spans="2:136" x14ac:dyDescent="0.25">
      <c r="BY19" s="1458"/>
      <c r="BZ19" s="1458"/>
      <c r="CA19" s="1458"/>
      <c r="CB19" s="1458"/>
      <c r="CC19" s="1458"/>
      <c r="CD19" s="1458"/>
    </row>
    <row r="20" spans="2:136" x14ac:dyDescent="0.25">
      <c r="BY20" s="1458"/>
      <c r="BZ20" s="1458"/>
      <c r="CA20" s="1458"/>
      <c r="CB20" s="1458"/>
      <c r="CC20" s="1458"/>
      <c r="CD20" s="1458"/>
    </row>
    <row r="21" spans="2:136" x14ac:dyDescent="0.25">
      <c r="BY21" s="1458"/>
      <c r="BZ21" s="1458"/>
      <c r="CA21" s="1458"/>
      <c r="CB21" s="1458"/>
      <c r="CC21" s="1458"/>
      <c r="CD21" s="1458"/>
    </row>
    <row r="22" spans="2:136" ht="30" x14ac:dyDescent="0.25">
      <c r="E22" s="1461" t="s">
        <v>1113</v>
      </c>
      <c r="F22" s="1461" t="s">
        <v>548</v>
      </c>
      <c r="G22" s="1461" t="s">
        <v>548</v>
      </c>
      <c r="H22" s="1461" t="s">
        <v>854</v>
      </c>
      <c r="I22" s="1461" t="s">
        <v>548</v>
      </c>
      <c r="J22" s="1461" t="s">
        <v>548</v>
      </c>
      <c r="K22" s="1268" t="s">
        <v>1113</v>
      </c>
      <c r="L22" s="1268" t="s">
        <v>1113</v>
      </c>
      <c r="M22" s="1268" t="s">
        <v>1113</v>
      </c>
      <c r="N22" s="1268" t="s">
        <v>548</v>
      </c>
      <c r="O22" s="1268" t="s">
        <v>548</v>
      </c>
      <c r="P22" s="1268" t="s">
        <v>548</v>
      </c>
      <c r="Q22" s="1268" t="s">
        <v>852</v>
      </c>
      <c r="R22" s="1268" t="s">
        <v>852</v>
      </c>
      <c r="S22" s="1268" t="s">
        <v>852</v>
      </c>
      <c r="T22" s="1268" t="s">
        <v>980</v>
      </c>
      <c r="U22" s="1268" t="s">
        <v>980</v>
      </c>
      <c r="V22" s="1268" t="s">
        <v>980</v>
      </c>
      <c r="W22" s="1268" t="s">
        <v>854</v>
      </c>
      <c r="X22" s="1268" t="s">
        <v>900</v>
      </c>
      <c r="Y22" s="1268" t="s">
        <v>900</v>
      </c>
      <c r="Z22" s="1268" t="s">
        <v>854</v>
      </c>
      <c r="AA22" s="1268" t="s">
        <v>900</v>
      </c>
      <c r="AB22" s="1268" t="s">
        <v>900</v>
      </c>
      <c r="AC22" s="1268" t="s">
        <v>1113</v>
      </c>
      <c r="AD22" s="1268" t="s">
        <v>548</v>
      </c>
      <c r="AE22" s="1268" t="s">
        <v>548</v>
      </c>
      <c r="AF22" s="1268" t="s">
        <v>1113</v>
      </c>
      <c r="AG22" s="1268" t="s">
        <v>548</v>
      </c>
      <c r="AH22" s="1268" t="s">
        <v>548</v>
      </c>
      <c r="AI22" s="1268" t="s">
        <v>548</v>
      </c>
      <c r="AJ22" s="1268" t="s">
        <v>1113</v>
      </c>
      <c r="AK22" s="1268" t="s">
        <v>1113</v>
      </c>
      <c r="AL22" s="1268" t="s">
        <v>548</v>
      </c>
      <c r="AM22" s="1268" t="s">
        <v>1113</v>
      </c>
      <c r="AN22" s="1268" t="s">
        <v>1113</v>
      </c>
      <c r="AO22" s="1268" t="s">
        <v>895</v>
      </c>
      <c r="AP22" s="1268" t="s">
        <v>548</v>
      </c>
      <c r="AQ22" s="1268" t="s">
        <v>548</v>
      </c>
      <c r="AR22" s="1268" t="s">
        <v>895</v>
      </c>
      <c r="AS22" s="1268" t="s">
        <v>548</v>
      </c>
      <c r="AT22" s="1268" t="s">
        <v>548</v>
      </c>
      <c r="AU22" s="1268" t="s">
        <v>548</v>
      </c>
      <c r="AV22" s="1268" t="s">
        <v>845</v>
      </c>
      <c r="AW22" s="1268" t="s">
        <v>845</v>
      </c>
      <c r="AX22" s="1268" t="s">
        <v>548</v>
      </c>
      <c r="AY22" s="1268" t="s">
        <v>845</v>
      </c>
      <c r="AZ22" s="1268" t="s">
        <v>845</v>
      </c>
      <c r="BA22" s="1268" t="s">
        <v>1113</v>
      </c>
      <c r="BB22" s="1268" t="s">
        <v>548</v>
      </c>
      <c r="BC22" s="1268" t="s">
        <v>548</v>
      </c>
      <c r="BD22" s="1268" t="s">
        <v>1113</v>
      </c>
      <c r="BE22" s="1268" t="s">
        <v>548</v>
      </c>
      <c r="BF22" s="1268" t="s">
        <v>548</v>
      </c>
      <c r="BG22" s="1268" t="s">
        <v>548</v>
      </c>
      <c r="BH22" s="1268" t="s">
        <v>854</v>
      </c>
      <c r="BI22" s="1268" t="s">
        <v>854</v>
      </c>
      <c r="BJ22" s="1268" t="s">
        <v>548</v>
      </c>
      <c r="BK22" s="1268" t="s">
        <v>854</v>
      </c>
      <c r="BL22" s="1268" t="s">
        <v>854</v>
      </c>
      <c r="BM22" s="1268" t="s">
        <v>548</v>
      </c>
      <c r="BN22" s="1268" t="s">
        <v>962</v>
      </c>
      <c r="BO22" s="1268" t="s">
        <v>962</v>
      </c>
      <c r="BP22" s="1268" t="s">
        <v>548</v>
      </c>
      <c r="BQ22" s="1268" t="s">
        <v>962</v>
      </c>
      <c r="BR22" s="1268" t="s">
        <v>962</v>
      </c>
      <c r="BS22" s="1462" t="s">
        <v>548</v>
      </c>
      <c r="BT22" s="1462" t="s">
        <v>964</v>
      </c>
      <c r="BU22" s="1462" t="s">
        <v>964</v>
      </c>
      <c r="BV22" s="1462" t="s">
        <v>548</v>
      </c>
      <c r="BW22" s="1462" t="s">
        <v>964</v>
      </c>
      <c r="BX22" s="1462" t="s">
        <v>964</v>
      </c>
      <c r="BY22" s="1268" t="s">
        <v>548</v>
      </c>
      <c r="BZ22" s="1268" t="s">
        <v>1114</v>
      </c>
      <c r="CA22" s="1268" t="s">
        <v>1114</v>
      </c>
      <c r="CB22" s="1268" t="s">
        <v>548</v>
      </c>
      <c r="CC22" s="1268" t="s">
        <v>1114</v>
      </c>
      <c r="CD22" s="1268" t="s">
        <v>1114</v>
      </c>
      <c r="CE22" s="1268" t="s">
        <v>548</v>
      </c>
      <c r="CF22" s="1268" t="s">
        <v>1115</v>
      </c>
      <c r="CG22" s="1268" t="s">
        <v>1115</v>
      </c>
      <c r="CH22" s="1268" t="s">
        <v>548</v>
      </c>
      <c r="CI22" s="1268" t="s">
        <v>1115</v>
      </c>
      <c r="CJ22" s="1268" t="s">
        <v>1115</v>
      </c>
      <c r="CK22" s="1268" t="s">
        <v>548</v>
      </c>
      <c r="CL22" s="1268" t="s">
        <v>1116</v>
      </c>
      <c r="CM22" s="1268" t="s">
        <v>1116</v>
      </c>
      <c r="CN22" s="1268" t="s">
        <v>548</v>
      </c>
      <c r="CO22" s="1268" t="s">
        <v>1116</v>
      </c>
      <c r="CP22" s="1268" t="s">
        <v>1116</v>
      </c>
      <c r="CQ22" s="1268" t="s">
        <v>548</v>
      </c>
      <c r="CR22" s="1268" t="s">
        <v>970</v>
      </c>
      <c r="CS22" s="1268" t="s">
        <v>970</v>
      </c>
      <c r="CT22" s="1268" t="s">
        <v>548</v>
      </c>
      <c r="CU22" s="1268" t="s">
        <v>970</v>
      </c>
      <c r="CV22" s="1268" t="s">
        <v>970</v>
      </c>
      <c r="CW22" s="1268" t="s">
        <v>1113</v>
      </c>
      <c r="CX22" s="1268" t="s">
        <v>548</v>
      </c>
      <c r="CY22" s="1268" t="s">
        <v>1113</v>
      </c>
      <c r="CZ22" s="1268" t="s">
        <v>1113</v>
      </c>
      <c r="DA22" s="1268" t="s">
        <v>548</v>
      </c>
      <c r="DB22" s="1268" t="s">
        <v>1113</v>
      </c>
      <c r="DC22" s="1268" t="s">
        <v>548</v>
      </c>
      <c r="DD22" s="1268" t="s">
        <v>548</v>
      </c>
      <c r="DE22" s="1268" t="s">
        <v>856</v>
      </c>
      <c r="DF22" s="1268" t="s">
        <v>548</v>
      </c>
      <c r="DG22" s="1268" t="s">
        <v>548</v>
      </c>
      <c r="DH22" s="1268" t="s">
        <v>856</v>
      </c>
      <c r="DI22" s="1268" t="s">
        <v>1113</v>
      </c>
      <c r="DJ22" s="1268" t="s">
        <v>548</v>
      </c>
      <c r="DK22" s="1268" t="s">
        <v>548</v>
      </c>
      <c r="DL22" s="1268" t="s">
        <v>1113</v>
      </c>
      <c r="DM22" s="1268" t="s">
        <v>548</v>
      </c>
      <c r="DN22" s="1268" t="s">
        <v>548</v>
      </c>
      <c r="DO22" s="1268" t="s">
        <v>548</v>
      </c>
      <c r="DP22" s="1268" t="s">
        <v>856</v>
      </c>
      <c r="DQ22" s="1268" t="s">
        <v>856</v>
      </c>
      <c r="DR22" s="1268" t="s">
        <v>548</v>
      </c>
      <c r="DS22" s="1268" t="s">
        <v>856</v>
      </c>
      <c r="DT22" s="1268" t="s">
        <v>856</v>
      </c>
      <c r="DU22" s="1268" t="s">
        <v>1113</v>
      </c>
      <c r="DV22" s="1268" t="s">
        <v>548</v>
      </c>
      <c r="DW22" s="1268" t="s">
        <v>548</v>
      </c>
      <c r="DX22" s="1268" t="s">
        <v>1113</v>
      </c>
      <c r="DY22" s="1268" t="s">
        <v>548</v>
      </c>
      <c r="DZ22" s="1268" t="s">
        <v>548</v>
      </c>
      <c r="EA22" s="1268" t="s">
        <v>940</v>
      </c>
      <c r="EB22" s="1268" t="s">
        <v>548</v>
      </c>
      <c r="EC22" s="1268" t="s">
        <v>973</v>
      </c>
      <c r="ED22" s="1268" t="s">
        <v>940</v>
      </c>
      <c r="EE22" s="1268" t="s">
        <v>548</v>
      </c>
      <c r="EF22" s="1268" t="s">
        <v>973</v>
      </c>
    </row>
    <row r="23" spans="2:136" x14ac:dyDescent="0.25">
      <c r="E23" s="1463" t="str">
        <f>CONCATENATE(E26,(SUBSTITUTE(E27," ","")),E28)</f>
        <v>UrbanNewConstruction2.2</v>
      </c>
      <c r="F23" s="1463" t="str">
        <f>CONCATENATE(F26,(SUBSTITUTE(F27," - ","")),F28)</f>
        <v>UrbanRehabModerate2.2</v>
      </c>
      <c r="G23" s="1463" t="str">
        <f>CONCATENATE(G26,(SUBSTITUTE(G27," - ","")),G28)</f>
        <v>UrbanRehabSubstantial2.2</v>
      </c>
      <c r="H23" s="1463" t="str">
        <f>CONCATENATE(H26,(SUBSTITUTE(H27," ","")),H28)</f>
        <v>RuralNewConstruction2.2</v>
      </c>
      <c r="I23" s="1463" t="str">
        <f>CONCATENATE(I26,(SUBSTITUTE(I27," - ","")),I28)</f>
        <v>RuralRehabModerate2.2</v>
      </c>
      <c r="J23" s="1463" t="str">
        <f>CONCATENATE(J26,(SUBSTITUTE(J27," - ","")),J28)</f>
        <v>RuralRehabSubstantial2.2</v>
      </c>
      <c r="K23" s="1463" t="str">
        <f>CONCATENATE(K26,(SUBSTITUTE(K27," ","")),K28)</f>
        <v>UrbanNewConstruction2.7A</v>
      </c>
      <c r="L23" s="1463" t="str">
        <f>CONCATENATE(L26,(SUBSTITUTE(L27," - ","")),L28)</f>
        <v>UrbanRehabModerate2.7A</v>
      </c>
      <c r="M23" s="1463" t="str">
        <f>CONCATENATE(M26,(SUBSTITUTE(M27," - ","")),M28)</f>
        <v>UrbanRehabSubstantial2.7A</v>
      </c>
      <c r="N23" s="1463" t="str">
        <f>CONCATENATE(N26,(SUBSTITUTE(N27," ","")),N28)</f>
        <v>RuralNewConstruction2.7A</v>
      </c>
      <c r="O23" s="1463" t="str">
        <f>CONCATENATE(O26,(SUBSTITUTE(O27," - ","")),O28)</f>
        <v>RuralRehabModerate2.7A</v>
      </c>
      <c r="P23" s="1463" t="str">
        <f>CONCATENATE(P26,(SUBSTITUTE(P27," - ","")),P28)</f>
        <v>RuralRehabSubstantial2.7A</v>
      </c>
      <c r="Q23" s="1463" t="str">
        <f>CONCATENATE(Q26,(SUBSTITUTE(Q27," ","")),Q28)</f>
        <v>UrbanNewConstruction2.7B</v>
      </c>
      <c r="R23" s="1463" t="str">
        <f>CONCATENATE(R26,(SUBSTITUTE(R27," - ","")),R28)</f>
        <v>UrbanRehabModerate2.7B</v>
      </c>
      <c r="S23" s="1463" t="str">
        <f>CONCATENATE(S26,(SUBSTITUTE(S27," - ","")),S28)</f>
        <v>UrbanRehabSubstantial2.7B</v>
      </c>
      <c r="T23" s="1463" t="str">
        <f>CONCATENATE(T26,(SUBSTITUTE(T27," ","")),T28)</f>
        <v>RuralNewConstruction2.7B</v>
      </c>
      <c r="U23" s="1463" t="str">
        <f>CONCATENATE(U26,(SUBSTITUTE(U27," - ","")),U28)</f>
        <v>RuralRehabModerate2.7B</v>
      </c>
      <c r="V23" s="1463" t="str">
        <f>CONCATENATE(V26,(SUBSTITUTE(V27," - ","")),V28)</f>
        <v>RuralRehabSubstantial2.7B</v>
      </c>
      <c r="W23" s="1463" t="str">
        <f>CONCATENATE(W26,(SUBSTITUTE(W27," ","")),W28)</f>
        <v>UrbanNewConstruction4.2</v>
      </c>
      <c r="X23" s="1463" t="str">
        <f>CONCATENATE(X26,(SUBSTITUTE(X27," - ","")),X28)</f>
        <v>UrbanRehabModerate4.2</v>
      </c>
      <c r="Y23" s="1463" t="str">
        <f>CONCATENATE(Y26,(SUBSTITUTE(Y27," - ","")),Y28)</f>
        <v>UrbanRehabSubstantial4.2</v>
      </c>
      <c r="Z23" s="1463" t="str">
        <f>CONCATENATE(Z26,(SUBSTITUTE(Z27," ","")),Z28)</f>
        <v>RuralNewConstruction4.2</v>
      </c>
      <c r="AA23" s="1463" t="str">
        <f>CONCATENATE(AA26,(SUBSTITUTE(AA27," - ","")),AA28)</f>
        <v>RuralRehabModerate4.2</v>
      </c>
      <c r="AB23" s="1463" t="str">
        <f>CONCATENATE(AB26,(SUBSTITUTE(AB27," - ","")),AB28)</f>
        <v>RuralRehabSubstantial4.2</v>
      </c>
      <c r="AC23" s="1463" t="str">
        <f>CONCATENATE(AC26,(SUBSTITUTE(AC27," ","")),AC28)</f>
        <v>UrbanNewConstruction5.1A</v>
      </c>
      <c r="AD23" s="1463" t="str">
        <f>CONCATENATE(AD26,(SUBSTITUTE(AD27," - ","")),AD28)</f>
        <v>UrbanRehabModerate5.1A</v>
      </c>
      <c r="AE23" s="1463" t="str">
        <f>CONCATENATE(AE26,(SUBSTITUTE(AE27," - ","")),AE28)</f>
        <v>UrbanRehabSubstantial5.1A</v>
      </c>
      <c r="AF23" s="1463" t="str">
        <f>CONCATENATE(AF26,(SUBSTITUTE(AF27," ","")),AF28)</f>
        <v>RuralNewConstruction5.1A</v>
      </c>
      <c r="AG23" s="1463" t="str">
        <f>CONCATENATE(AG26,(SUBSTITUTE(AG27," - ","")),AG28)</f>
        <v>RuralRehabModerate5.1A</v>
      </c>
      <c r="AH23" s="1463" t="str">
        <f>CONCATENATE(AH26,(SUBSTITUTE(AH27," - ","")),AH28)</f>
        <v>RuralRehabSubstantial5.1A</v>
      </c>
      <c r="AI23" s="1463" t="str">
        <f>CONCATENATE(AI26,(SUBSTITUTE(AI27," ","")),AI28)</f>
        <v>UrbanNewConstruction5.1B</v>
      </c>
      <c r="AJ23" s="1463" t="str">
        <f>CONCATENATE(AJ26,(SUBSTITUTE(AJ27," - ","")),AJ28)</f>
        <v>UrbanRehabModerate5.1B</v>
      </c>
      <c r="AK23" s="1463" t="str">
        <f>CONCATENATE(AK26,(SUBSTITUTE(AK27," - ","")),AK28)</f>
        <v>UrbanRehabSubstantial5.1B</v>
      </c>
      <c r="AL23" s="1463" t="str">
        <f>CONCATENATE(AL26,(SUBSTITUTE(AL27," ","")),AL28)</f>
        <v>RuralNewConstruction5.1B</v>
      </c>
      <c r="AM23" s="1463" t="str">
        <f>CONCATENATE(AM26,(SUBSTITUTE(AM27," - ","")),AM28)</f>
        <v>RuralRehabModerate5.1B</v>
      </c>
      <c r="AN23" s="1463" t="str">
        <f>CONCATENATE(AN26,(SUBSTITUTE(AN27," - ","")),AN28)</f>
        <v>RuralRehabSubstantial5.1B</v>
      </c>
      <c r="AO23" s="1463" t="str">
        <f>CONCATENATE(AO26,(SUBSTITUTE(AO27," ","")),AO28)</f>
        <v>UrbanNewConstruction5.2A</v>
      </c>
      <c r="AP23" s="1463" t="str">
        <f>CONCATENATE(AP26,(SUBSTITUTE(AP27," - ","")),AP28)</f>
        <v>UrbanRehabModerate5.2A</v>
      </c>
      <c r="AQ23" s="1463" t="str">
        <f>CONCATENATE(AQ26,(SUBSTITUTE(AQ27," - ","")),AQ28)</f>
        <v>UrbanRehabSubstantial5.2A</v>
      </c>
      <c r="AR23" s="1463" t="str">
        <f>CONCATENATE(AR26,(SUBSTITUTE(AR27," ","")),AR28)</f>
        <v>RuralNewConstruction5.2A</v>
      </c>
      <c r="AS23" s="1463" t="str">
        <f>CONCATENATE(AS26,(SUBSTITUTE(AS27," - ","")),AS28)</f>
        <v>RuralRehabModerate5.2A</v>
      </c>
      <c r="AT23" s="1463" t="str">
        <f>CONCATENATE(AT26,(SUBSTITUTE(AT27," - ","")),AT28)</f>
        <v>RuralRehabSubstantial5.2A</v>
      </c>
      <c r="AU23" s="1463" t="str">
        <f>CONCATENATE(AU26,(SUBSTITUTE(AU27," ","")),AU28)</f>
        <v>UrbanNewConstruction5.2B</v>
      </c>
      <c r="AV23" s="1463" t="str">
        <f>CONCATENATE(AV26,(SUBSTITUTE(AV27," - ","")),AV28)</f>
        <v>UrbanRehabModerate5.2B</v>
      </c>
      <c r="AW23" s="1463" t="str">
        <f>CONCATENATE(AW26,(SUBSTITUTE(AW27," - ","")),AW28)</f>
        <v>UrbanRehabSubstantial5.2B</v>
      </c>
      <c r="AX23" s="1463" t="str">
        <f>CONCATENATE(AX26,(SUBSTITUTE(AX27," ","")),AX28)</f>
        <v>RuralNewConstruction5.2B</v>
      </c>
      <c r="AY23" s="1463" t="str">
        <f>CONCATENATE(AY26,(SUBSTITUTE(AY27," - ","")),AY28)</f>
        <v>RuralRehabModerate5.2B</v>
      </c>
      <c r="AZ23" s="1463" t="str">
        <f>CONCATENATE(AZ26,(SUBSTITUTE(AZ27," - ","")),AZ28)</f>
        <v>RuralRehabSubstantial5.2B</v>
      </c>
      <c r="BA23" s="1463" t="str">
        <f>CONCATENATE(BA26,(SUBSTITUTE(BA27," ","")),BA28)</f>
        <v>UrbanNewConstruction5.7A</v>
      </c>
      <c r="BB23" s="1463" t="str">
        <f>CONCATENATE(BB26,(SUBSTITUTE(BB27," - ","")),BB28)</f>
        <v>UrbanRehabModerate5.7A</v>
      </c>
      <c r="BC23" s="1463" t="str">
        <f>CONCATENATE(BC26,(SUBSTITUTE(BC27," - ","")),BC28)</f>
        <v>UrbanRehabSubstantial5.7A</v>
      </c>
      <c r="BD23" s="1463" t="str">
        <f>CONCATENATE(BD26,(SUBSTITUTE(BD27," ","")),BD28)</f>
        <v>RuralNewConstruction5.7A</v>
      </c>
      <c r="BE23" s="1463" t="str">
        <f>CONCATENATE(BE26,(SUBSTITUTE(BE27," - ","")),BE28)</f>
        <v>RuralRehabModerate5.7A</v>
      </c>
      <c r="BF23" s="1463" t="str">
        <f>CONCATENATE(BF26,(SUBSTITUTE(BF27," - ","")),BF28)</f>
        <v>RuralRehabSubstantial5.7A</v>
      </c>
      <c r="BG23" s="1463" t="str">
        <f>CONCATENATE(BG26,(SUBSTITUTE(BG27," ","")),BG28)</f>
        <v>UrbanNewConstruction5.7B</v>
      </c>
      <c r="BH23" s="1463" t="str">
        <f>CONCATENATE(BH26,(SUBSTITUTE(BH27," - ","")),BH28)</f>
        <v>UrbanRehabModerate5.7B</v>
      </c>
      <c r="BI23" s="1463" t="str">
        <f>CONCATENATE(BI26,(SUBSTITUTE(BI27," - ","")),BI28)</f>
        <v>UrbanRehabSubstantial5.7B</v>
      </c>
      <c r="BJ23" s="1463" t="str">
        <f>CONCATENATE(BJ26,(SUBSTITUTE(BJ27," ","")),BJ28)</f>
        <v>RuralNewConstruction5.7B</v>
      </c>
      <c r="BK23" s="1463" t="str">
        <f>CONCATENATE(BK26,(SUBSTITUTE(BK27," - ","")),BK28)</f>
        <v>RuralRehabModerate5.7B</v>
      </c>
      <c r="BL23" s="1463" t="str">
        <f>CONCATENATE(BL26,(SUBSTITUTE(BL27," - ","")),BL28)</f>
        <v>RuralRehabSubstantial5.7B</v>
      </c>
      <c r="BM23" s="1463" t="str">
        <f>CONCATENATE(BM26,(SUBSTITUTE(BM27," ","")),BM28)</f>
        <v>UrbanNewConstruction5.8A</v>
      </c>
      <c r="BN23" s="1463" t="str">
        <f>CONCATENATE(BN26,(SUBSTITUTE(BN27," - ","")),BN28)</f>
        <v>UrbanRehabModerate5.8A</v>
      </c>
      <c r="BO23" s="1463" t="str">
        <f>CONCATENATE(BO26,(SUBSTITUTE(BO27," - ","")),BO28)</f>
        <v>UrbanRehabSubstantial5.8A</v>
      </c>
      <c r="BP23" s="1463" t="str">
        <f>CONCATENATE(BP26,(SUBSTITUTE(BP27," ","")),BP28)</f>
        <v>RuralNewConstruction5.8A</v>
      </c>
      <c r="BQ23" s="1463" t="str">
        <f>CONCATENATE(BQ26,(SUBSTITUTE(BQ27," - ","")),BQ28)</f>
        <v>RuralRehabModerate5.8A</v>
      </c>
      <c r="BR23" s="1463" t="str">
        <f>CONCATENATE(BR26,(SUBSTITUTE(BR27," - ","")),BR28)</f>
        <v>RuralRehabSubstantial5.8A</v>
      </c>
      <c r="BS23" s="1463" t="str">
        <f>CONCATENATE(BS26,(SUBSTITUTE(BS27," ","")),BS28)</f>
        <v>UrbanNewConstruction5.8C</v>
      </c>
      <c r="BT23" s="1463" t="str">
        <f>CONCATENATE(BT26,(SUBSTITUTE(BT27," - ","")),BT28)</f>
        <v>UrbanRehabModerate5.8C</v>
      </c>
      <c r="BU23" s="1463" t="str">
        <f>CONCATENATE(BU26,(SUBSTITUTE(BU27," - ","")),BU28)</f>
        <v>UrbanRehabSubstantial5.8C</v>
      </c>
      <c r="BV23" s="1463" t="str">
        <f>CONCATENATE(BV26,(SUBSTITUTE(BV27," ","")),BV28)</f>
        <v>RuralNewConstruction5.8C</v>
      </c>
      <c r="BW23" s="1463" t="str">
        <f>CONCATENATE(BW26,(SUBSTITUTE(BW27," - ","")),BW28)</f>
        <v>RuralRehabModerate5.8C</v>
      </c>
      <c r="BX23" s="1463" t="str">
        <f>CONCATENATE(BX26,(SUBSTITUTE(BX27," - ","")),BX28)</f>
        <v>RuralRehabSubstantial5.8C</v>
      </c>
      <c r="BY23" s="1463" t="str">
        <f>CONCATENATE(BY26,(SUBSTITUTE(BY27," ","")),BY28)</f>
        <v>UrbanNewConstruction5.1</v>
      </c>
      <c r="BZ23" s="1463" t="str">
        <f>CONCATENATE(BZ26,(SUBSTITUTE(BZ27," - ","")),BZ28)</f>
        <v>UrbanRehabModerate5.1</v>
      </c>
      <c r="CA23" s="1463" t="str">
        <f>CONCATENATE(CA26,(SUBSTITUTE(CA27," - ","")),CA28)</f>
        <v>UrbanRehabSubstantial5.1</v>
      </c>
      <c r="CB23" s="1463" t="str">
        <f>CONCATENATE(CB26,(SUBSTITUTE(CB27," ","")),CB28)</f>
        <v>RuralNewConstruction5.1</v>
      </c>
      <c r="CC23" s="1463" t="str">
        <f>CONCATENATE(CC26,(SUBSTITUTE(CC27," - ","")),CC28)</f>
        <v>RuralRehabModerate5.1</v>
      </c>
      <c r="CD23" s="1463" t="str">
        <f>CONCATENATE(CD26,(SUBSTITUTE(CD27," - ","")),CD28)</f>
        <v>RuralRehabSubstantial5.1</v>
      </c>
      <c r="CE23" s="1463" t="str">
        <f>CONCATENATE(CE26,(SUBSTITUTE(CE27," ","")),CE28)</f>
        <v>UrbanNewConstruction5.11</v>
      </c>
      <c r="CF23" s="1463" t="str">
        <f>CONCATENATE(CF26,(SUBSTITUTE(CF27," - ","")),CF28)</f>
        <v>UrbanRehabModerate5.11</v>
      </c>
      <c r="CG23" s="1463" t="str">
        <f>CONCATENATE(CG26,(SUBSTITUTE(CG27," - ","")),CG28)</f>
        <v>UrbanRehabSubstantial5.11</v>
      </c>
      <c r="CH23" s="1463" t="str">
        <f>CONCATENATE(CH26,(SUBSTITUTE(CH27," ","")),CH28)</f>
        <v>RuralNewConstruction5.11</v>
      </c>
      <c r="CI23" s="1463" t="str">
        <f>CONCATENATE(CI26,(SUBSTITUTE(CI27," - ","")),CI28)</f>
        <v>RuralRehabModerate5.11</v>
      </c>
      <c r="CJ23" s="1463" t="str">
        <f>CONCATENATE(CJ26,(SUBSTITUTE(CJ27," - ","")),CJ28)</f>
        <v>RuralRehabSubstantial5.11</v>
      </c>
      <c r="CK23" s="1463" t="str">
        <f>CONCATENATE(CK26,(SUBSTITUTE(CK27," ","")),CK28)</f>
        <v>UrbanNewConstruction5.12</v>
      </c>
      <c r="CL23" s="1463" t="str">
        <f>CONCATENATE(CL26,(SUBSTITUTE(CL27," - ","")),CL28)</f>
        <v>UrbanRehabModerate5.12</v>
      </c>
      <c r="CM23" s="1463" t="str">
        <f>CONCATENATE(CM26,(SUBSTITUTE(CM27," - ","")),CM28)</f>
        <v>UrbanRehabSubstantial5.12</v>
      </c>
      <c r="CN23" s="1463" t="str">
        <f>CONCATENATE(CN26,(SUBSTITUTE(CN27," ","")),CN28)</f>
        <v>RuralNewConstruction5.12</v>
      </c>
      <c r="CO23" s="1463" t="str">
        <f>CONCATENATE(CO26,(SUBSTITUTE(CO27," - ","")),CO28)</f>
        <v>RuralRehabModerate5.12</v>
      </c>
      <c r="CP23" s="1463" t="str">
        <f>CONCATENATE(CP26,(SUBSTITUTE(CP27," - ","")),CP28)</f>
        <v>RuralRehabSubstantial5.12</v>
      </c>
      <c r="CQ23" s="1463" t="str">
        <f>CONCATENATE(CQ26,(SUBSTITUTE(CQ27," ","")),CQ28)</f>
        <v>UrbanNewConstruction5.13</v>
      </c>
      <c r="CR23" s="1463" t="str">
        <f>CONCATENATE(CR26,(SUBSTITUTE(CR27," - ","")),CR28)</f>
        <v>UrbanRehabModerate5.13</v>
      </c>
      <c r="CS23" s="1463" t="str">
        <f>CONCATENATE(CS26,(SUBSTITUTE(CS27," - ","")),CS28)</f>
        <v>UrbanRehabSubstantial5.13</v>
      </c>
      <c r="CT23" s="1463" t="str">
        <f>CONCATENATE(CT26,(SUBSTITUTE(CT27," ","")),CT28)</f>
        <v>RuralNewConstruction5.13</v>
      </c>
      <c r="CU23" s="1463" t="str">
        <f>CONCATENATE(CU26,(SUBSTITUTE(CU27," - ","")),CU28)</f>
        <v>RuralRehabModerate5.13</v>
      </c>
      <c r="CV23" s="1463" t="str">
        <f>CONCATENATE(CV26,(SUBSTITUTE(CV27," - ","")),CV28)</f>
        <v>RuralRehabSubstantial5.13</v>
      </c>
      <c r="CW23" s="1463" t="str">
        <f>CONCATENATE(CW26,(SUBSTITUTE(CW27," ","")),CW28)</f>
        <v>UrbanNewConstruction7.3A</v>
      </c>
      <c r="CX23" s="1463" t="str">
        <f>CONCATENATE(CX26,(SUBSTITUTE(CX27," - ","")),CX28)</f>
        <v>UrbanRehabModerate7.3A</v>
      </c>
      <c r="CY23" s="1463" t="str">
        <f>CONCATENATE(CY26,(SUBSTITUTE(CY27," - ","")),CY28)</f>
        <v>UrbanRehabSubstantial7.3A</v>
      </c>
      <c r="CZ23" s="1463" t="str">
        <f>CONCATENATE(CZ26,(SUBSTITUTE(CZ27," ","")),CZ28)</f>
        <v>RuralNewConstruction7.3A</v>
      </c>
      <c r="DA23" s="1463" t="str">
        <f>CONCATENATE(DA26,(SUBSTITUTE(DA27," - ","")),DA28)</f>
        <v>RuralRehabModerate7.3A</v>
      </c>
      <c r="DB23" s="1463" t="str">
        <f>CONCATENATE(DB26,(SUBSTITUTE(DB27," - ","")),DB28)</f>
        <v>RuralRehabSubstantial7.3A</v>
      </c>
      <c r="DC23" s="1463" t="str">
        <f>CONCATENATE(DC26,(SUBSTITUTE(DC27," ","")),DC28)</f>
        <v>UrbanNewConstruction7.3B</v>
      </c>
      <c r="DD23" s="1463" t="str">
        <f>CONCATENATE(DD26,(SUBSTITUTE(DD27," - ","")),DD28)</f>
        <v>UrbanRehabModerate7.3B</v>
      </c>
      <c r="DE23" s="1463" t="str">
        <f>CONCATENATE(DE26,(SUBSTITUTE(DE27," - ","")),DE28)</f>
        <v>UrbanRehabSubstantial7.3B</v>
      </c>
      <c r="DF23" s="1463" t="str">
        <f>CONCATENATE(DF26,(SUBSTITUTE(DF27," ","")),DF28)</f>
        <v>RuralNewConstruction7.3B</v>
      </c>
      <c r="DG23" s="1463" t="str">
        <f>CONCATENATE(DG26,(SUBSTITUTE(DG27," - ","")),DG28)</f>
        <v>RuralRehabModerate7.3B</v>
      </c>
      <c r="DH23" s="1463" t="str">
        <f>CONCATENATE(DH26,(SUBSTITUTE(DH27," - ","")),DH28)</f>
        <v>RuralRehabSubstantial7.3B</v>
      </c>
      <c r="DI23" s="1463" t="str">
        <f>CONCATENATE(DI26,(SUBSTITUTE(DI27," ","")),DI28)</f>
        <v>UrbanNewConstruction7.4A</v>
      </c>
      <c r="DJ23" s="1463" t="str">
        <f>CONCATENATE(DJ26,(SUBSTITUTE(DJ27," - ","")),DJ28)</f>
        <v>UrbanRehabModerate7.4A</v>
      </c>
      <c r="DK23" s="1463" t="str">
        <f>CONCATENATE(DK26,(SUBSTITUTE(DK27," - ","")),DK28)</f>
        <v>UrbanRehabSubstantial7.4A</v>
      </c>
      <c r="DL23" s="1463" t="str">
        <f>CONCATENATE(DL26,(SUBSTITUTE(DL27," ","")),DL28)</f>
        <v>RuralNewConstruction7.4A</v>
      </c>
      <c r="DM23" s="1463" t="str">
        <f>CONCATENATE(DM26,(SUBSTITUTE(DM27," - ","")),DM28)</f>
        <v>RuralRehabModerate7.4A</v>
      </c>
      <c r="DN23" s="1463" t="str">
        <f>CONCATENATE(DN26,(SUBSTITUTE(DN27," - ","")),DN28)</f>
        <v>RuralRehabSubstantial7.4A</v>
      </c>
      <c r="DO23" s="1463" t="str">
        <f>CONCATENATE(DO26,(SUBSTITUTE(DO27," ","")),DO28)</f>
        <v>UrbanNewConstruction7.4B</v>
      </c>
      <c r="DP23" s="1463" t="str">
        <f>CONCATENATE(DP26,(SUBSTITUTE(DP27," - ","")),DP28)</f>
        <v>UrbanRehabModerate7.4B</v>
      </c>
      <c r="DQ23" s="1463" t="str">
        <f>CONCATENATE(DQ26,(SUBSTITUTE(DQ27," - ","")),DQ28)</f>
        <v>UrbanRehabSubstantial7.4B</v>
      </c>
      <c r="DR23" s="1463" t="str">
        <f>CONCATENATE(DR26,(SUBSTITUTE(DR27," ","")),DR28)</f>
        <v>RuralNewConstruction7.4B</v>
      </c>
      <c r="DS23" s="1463" t="str">
        <f>CONCATENATE(DS26,(SUBSTITUTE(DS27," - ","")),DS28)</f>
        <v>RuralRehabModerate7.4B</v>
      </c>
      <c r="DT23" s="1463" t="str">
        <f>CONCATENATE(DT26,(SUBSTITUTE(DT27," - ","")),DT28)</f>
        <v>RuralRehabSubstantial7.4B</v>
      </c>
      <c r="DU23" s="1463" t="str">
        <f>CONCATENATE(DU26,(SUBSTITUTE(DU27," ","")),DU28)</f>
        <v>UrbanNewConstruction7.13A</v>
      </c>
      <c r="DV23" s="1463" t="str">
        <f>CONCATENATE(DV26,(SUBSTITUTE(DV27," - ","")),DV28)</f>
        <v>UrbanRehabModerate7.13A</v>
      </c>
      <c r="DW23" s="1463" t="str">
        <f>CONCATENATE(DW26,(SUBSTITUTE(DW27," - ","")),DW28)</f>
        <v>UrbanRehabSubstantial7.13A</v>
      </c>
      <c r="DX23" s="1463" t="str">
        <f>CONCATENATE(DX26,(SUBSTITUTE(DX27," ","")),DX28)</f>
        <v>RuralNewConstruction7.13A</v>
      </c>
      <c r="DY23" s="1463" t="str">
        <f>CONCATENATE(DY26,(SUBSTITUTE(DY27," - ","")),DY28)</f>
        <v>RuralRehabModerate7.13A</v>
      </c>
      <c r="DZ23" s="1463" t="str">
        <f>CONCATENATE(DZ26,(SUBSTITUTE(DZ27," - ","")),DZ28)</f>
        <v>RuralRehabSubstantial7.13A</v>
      </c>
      <c r="EA23" s="1463" t="str">
        <f>CONCATENATE(EA26,(SUBSTITUTE(EA27," ","")),EA28)</f>
        <v>UrbanNewConstruction7.13B</v>
      </c>
      <c r="EB23" s="1463" t="str">
        <f>CONCATENATE(EB26,(SUBSTITUTE(EB27," - ","")),EB28)</f>
        <v>UrbanRehabModerate7.13B</v>
      </c>
      <c r="EC23" s="1463" t="str">
        <f>CONCATENATE(EC26,(SUBSTITUTE(EC27," - ","")),EC28)</f>
        <v>UrbanRehabSubstantial7.13B</v>
      </c>
      <c r="ED23" s="1463" t="str">
        <f>CONCATENATE(ED26,(SUBSTITUTE(ED27," ","")),ED28)</f>
        <v>RuralNewConstruction7.13B</v>
      </c>
      <c r="EE23" s="1463" t="str">
        <f>CONCATENATE(EE26,(SUBSTITUTE(EE27," - ","")),EE28)</f>
        <v>RuralRehabModerate7.13B</v>
      </c>
      <c r="EF23" s="1463" t="str">
        <f>CONCATENATE(EF26,(SUBSTITUTE(EF27," - ","")),EF28)</f>
        <v>RuralRehabSubstantial7.13B</v>
      </c>
    </row>
    <row r="24" spans="2:136" ht="30" x14ac:dyDescent="0.25">
      <c r="D24" s="1268" t="s">
        <v>1117</v>
      </c>
    </row>
    <row r="25" spans="2:136" x14ac:dyDescent="0.25">
      <c r="D25" s="714" t="s">
        <v>1118</v>
      </c>
    </row>
    <row r="26" spans="2:136" x14ac:dyDescent="0.25">
      <c r="E26" s="1464" t="s">
        <v>827</v>
      </c>
      <c r="F26" s="1464" t="s">
        <v>827</v>
      </c>
      <c r="G26" s="1464" t="s">
        <v>827</v>
      </c>
      <c r="H26" s="1463" t="s">
        <v>826</v>
      </c>
      <c r="I26" s="1463" t="s">
        <v>826</v>
      </c>
      <c r="J26" s="1463" t="s">
        <v>826</v>
      </c>
      <c r="K26" s="1464" t="s">
        <v>827</v>
      </c>
      <c r="L26" s="1464" t="s">
        <v>827</v>
      </c>
      <c r="M26" s="1464" t="s">
        <v>827</v>
      </c>
      <c r="N26" s="1463" t="s">
        <v>826</v>
      </c>
      <c r="O26" s="1463" t="s">
        <v>826</v>
      </c>
      <c r="P26" s="1463" t="s">
        <v>826</v>
      </c>
      <c r="Q26" s="1464" t="s">
        <v>827</v>
      </c>
      <c r="R26" s="1464" t="s">
        <v>827</v>
      </c>
      <c r="S26" s="1464" t="s">
        <v>827</v>
      </c>
      <c r="T26" s="1463" t="s">
        <v>826</v>
      </c>
      <c r="U26" s="1463" t="s">
        <v>826</v>
      </c>
      <c r="V26" s="1463" t="s">
        <v>826</v>
      </c>
      <c r="W26" s="1464" t="s">
        <v>827</v>
      </c>
      <c r="X26" s="1464" t="s">
        <v>827</v>
      </c>
      <c r="Y26" s="1464" t="s">
        <v>827</v>
      </c>
      <c r="Z26" s="1463" t="s">
        <v>826</v>
      </c>
      <c r="AA26" s="1463" t="s">
        <v>826</v>
      </c>
      <c r="AB26" s="1463" t="s">
        <v>826</v>
      </c>
      <c r="AC26" s="1464" t="s">
        <v>827</v>
      </c>
      <c r="AD26" s="1464" t="s">
        <v>827</v>
      </c>
      <c r="AE26" s="1464" t="s">
        <v>827</v>
      </c>
      <c r="AF26" s="1463" t="s">
        <v>826</v>
      </c>
      <c r="AG26" s="1463" t="s">
        <v>826</v>
      </c>
      <c r="AH26" s="1463" t="s">
        <v>826</v>
      </c>
      <c r="AI26" s="1464" t="s">
        <v>827</v>
      </c>
      <c r="AJ26" s="1464" t="s">
        <v>827</v>
      </c>
      <c r="AK26" s="1464" t="s">
        <v>827</v>
      </c>
      <c r="AL26" s="1463" t="s">
        <v>826</v>
      </c>
      <c r="AM26" s="1463" t="s">
        <v>826</v>
      </c>
      <c r="AN26" s="1463" t="s">
        <v>826</v>
      </c>
      <c r="AO26" s="1464" t="s">
        <v>827</v>
      </c>
      <c r="AP26" s="1464" t="s">
        <v>827</v>
      </c>
      <c r="AQ26" s="1464" t="s">
        <v>827</v>
      </c>
      <c r="AR26" s="1463" t="s">
        <v>826</v>
      </c>
      <c r="AS26" s="1463" t="s">
        <v>826</v>
      </c>
      <c r="AT26" s="1463" t="s">
        <v>826</v>
      </c>
      <c r="AU26" s="1464" t="s">
        <v>827</v>
      </c>
      <c r="AV26" s="1464" t="s">
        <v>827</v>
      </c>
      <c r="AW26" s="1464" t="s">
        <v>827</v>
      </c>
      <c r="AX26" s="1463" t="s">
        <v>826</v>
      </c>
      <c r="AY26" s="1463" t="s">
        <v>826</v>
      </c>
      <c r="AZ26" s="1463" t="s">
        <v>826</v>
      </c>
      <c r="BA26" s="1464" t="s">
        <v>827</v>
      </c>
      <c r="BB26" s="1464" t="s">
        <v>827</v>
      </c>
      <c r="BC26" s="1464" t="s">
        <v>827</v>
      </c>
      <c r="BD26" s="1463" t="s">
        <v>826</v>
      </c>
      <c r="BE26" s="1463" t="s">
        <v>826</v>
      </c>
      <c r="BF26" s="1463" t="s">
        <v>826</v>
      </c>
      <c r="BG26" s="1464" t="s">
        <v>827</v>
      </c>
      <c r="BH26" s="1464" t="s">
        <v>827</v>
      </c>
      <c r="BI26" s="1464" t="s">
        <v>827</v>
      </c>
      <c r="BJ26" s="1463" t="s">
        <v>826</v>
      </c>
      <c r="BK26" s="1463" t="s">
        <v>826</v>
      </c>
      <c r="BL26" s="1463" t="s">
        <v>826</v>
      </c>
      <c r="BM26" s="1464" t="s">
        <v>827</v>
      </c>
      <c r="BN26" s="1464" t="s">
        <v>827</v>
      </c>
      <c r="BO26" s="1464" t="s">
        <v>827</v>
      </c>
      <c r="BP26" s="1463" t="s">
        <v>826</v>
      </c>
      <c r="BQ26" s="1463" t="s">
        <v>826</v>
      </c>
      <c r="BR26" s="1463" t="s">
        <v>826</v>
      </c>
      <c r="BS26" s="1464" t="s">
        <v>827</v>
      </c>
      <c r="BT26" s="1464" t="s">
        <v>827</v>
      </c>
      <c r="BU26" s="1464" t="s">
        <v>827</v>
      </c>
      <c r="BV26" s="1463" t="s">
        <v>826</v>
      </c>
      <c r="BW26" s="1463" t="s">
        <v>826</v>
      </c>
      <c r="BX26" s="1463" t="s">
        <v>826</v>
      </c>
      <c r="BY26" s="1464" t="s">
        <v>827</v>
      </c>
      <c r="BZ26" s="1464" t="s">
        <v>827</v>
      </c>
      <c r="CA26" s="1464" t="s">
        <v>827</v>
      </c>
      <c r="CB26" s="1463" t="s">
        <v>826</v>
      </c>
      <c r="CC26" s="1463" t="s">
        <v>826</v>
      </c>
      <c r="CD26" s="1463" t="s">
        <v>826</v>
      </c>
      <c r="CE26" s="1464" t="s">
        <v>827</v>
      </c>
      <c r="CF26" s="1464" t="s">
        <v>827</v>
      </c>
      <c r="CG26" s="1464" t="s">
        <v>827</v>
      </c>
      <c r="CH26" s="1463" t="s">
        <v>826</v>
      </c>
      <c r="CI26" s="1463" t="s">
        <v>826</v>
      </c>
      <c r="CJ26" s="1463" t="s">
        <v>826</v>
      </c>
      <c r="CK26" s="1464" t="s">
        <v>827</v>
      </c>
      <c r="CL26" s="1464" t="s">
        <v>827</v>
      </c>
      <c r="CM26" s="1464" t="s">
        <v>827</v>
      </c>
      <c r="CN26" s="1463" t="s">
        <v>826</v>
      </c>
      <c r="CO26" s="1463" t="s">
        <v>826</v>
      </c>
      <c r="CP26" s="1463" t="s">
        <v>826</v>
      </c>
      <c r="CQ26" s="1464" t="s">
        <v>827</v>
      </c>
      <c r="CR26" s="1464" t="s">
        <v>827</v>
      </c>
      <c r="CS26" s="1464" t="s">
        <v>827</v>
      </c>
      <c r="CT26" s="1463" t="s">
        <v>826</v>
      </c>
      <c r="CU26" s="1463" t="s">
        <v>826</v>
      </c>
      <c r="CV26" s="1463" t="s">
        <v>826</v>
      </c>
      <c r="CW26" s="1464" t="s">
        <v>827</v>
      </c>
      <c r="CX26" s="1464" t="s">
        <v>827</v>
      </c>
      <c r="CY26" s="1464" t="s">
        <v>827</v>
      </c>
      <c r="CZ26" s="1463" t="s">
        <v>826</v>
      </c>
      <c r="DA26" s="1463" t="s">
        <v>826</v>
      </c>
      <c r="DB26" s="1463" t="s">
        <v>826</v>
      </c>
      <c r="DC26" s="1464" t="s">
        <v>827</v>
      </c>
      <c r="DD26" s="1464" t="s">
        <v>827</v>
      </c>
      <c r="DE26" s="1464" t="s">
        <v>827</v>
      </c>
      <c r="DF26" s="1463" t="s">
        <v>826</v>
      </c>
      <c r="DG26" s="1463" t="s">
        <v>826</v>
      </c>
      <c r="DH26" s="1463" t="s">
        <v>826</v>
      </c>
      <c r="DI26" s="1464" t="s">
        <v>827</v>
      </c>
      <c r="DJ26" s="1464" t="s">
        <v>827</v>
      </c>
      <c r="DK26" s="1464" t="s">
        <v>827</v>
      </c>
      <c r="DL26" s="1463" t="s">
        <v>826</v>
      </c>
      <c r="DM26" s="1463" t="s">
        <v>826</v>
      </c>
      <c r="DN26" s="1463" t="s">
        <v>826</v>
      </c>
      <c r="DO26" s="1464" t="s">
        <v>827</v>
      </c>
      <c r="DP26" s="1464" t="s">
        <v>827</v>
      </c>
      <c r="DQ26" s="1464" t="s">
        <v>827</v>
      </c>
      <c r="DR26" s="1463" t="s">
        <v>826</v>
      </c>
      <c r="DS26" s="1463" t="s">
        <v>826</v>
      </c>
      <c r="DT26" s="1463" t="s">
        <v>826</v>
      </c>
      <c r="DU26" s="1464" t="s">
        <v>827</v>
      </c>
      <c r="DV26" s="1464" t="s">
        <v>827</v>
      </c>
      <c r="DW26" s="1464" t="s">
        <v>827</v>
      </c>
      <c r="DX26" s="1463" t="s">
        <v>826</v>
      </c>
      <c r="DY26" s="1463" t="s">
        <v>826</v>
      </c>
      <c r="DZ26" s="1463" t="s">
        <v>826</v>
      </c>
      <c r="EA26" s="1464" t="s">
        <v>827</v>
      </c>
      <c r="EB26" s="1464" t="s">
        <v>827</v>
      </c>
      <c r="EC26" s="1464" t="s">
        <v>827</v>
      </c>
      <c r="ED26" s="1463" t="s">
        <v>826</v>
      </c>
      <c r="EE26" s="1463" t="s">
        <v>826</v>
      </c>
      <c r="EF26" s="1463" t="s">
        <v>826</v>
      </c>
    </row>
    <row r="27" spans="2:136" x14ac:dyDescent="0.25">
      <c r="E27" s="714" t="s">
        <v>28</v>
      </c>
      <c r="F27" s="714" t="s">
        <v>1119</v>
      </c>
      <c r="G27" s="714" t="s">
        <v>1120</v>
      </c>
      <c r="H27" s="714" t="s">
        <v>28</v>
      </c>
      <c r="I27" s="714" t="s">
        <v>1119</v>
      </c>
      <c r="J27" s="714" t="s">
        <v>1120</v>
      </c>
      <c r="K27" s="714" t="s">
        <v>28</v>
      </c>
      <c r="L27" s="714" t="s">
        <v>1119</v>
      </c>
      <c r="M27" s="714" t="s">
        <v>1120</v>
      </c>
      <c r="N27" s="714" t="s">
        <v>28</v>
      </c>
      <c r="O27" s="714" t="s">
        <v>1119</v>
      </c>
      <c r="P27" s="714" t="s">
        <v>1120</v>
      </c>
      <c r="Q27" s="714" t="s">
        <v>28</v>
      </c>
      <c r="R27" s="714" t="s">
        <v>1119</v>
      </c>
      <c r="S27" s="714" t="s">
        <v>1120</v>
      </c>
      <c r="T27" s="714" t="s">
        <v>28</v>
      </c>
      <c r="U27" s="714" t="s">
        <v>1119</v>
      </c>
      <c r="V27" s="714" t="s">
        <v>1120</v>
      </c>
      <c r="W27" s="714" t="s">
        <v>28</v>
      </c>
      <c r="X27" s="714" t="s">
        <v>1119</v>
      </c>
      <c r="Y27" s="714" t="s">
        <v>1120</v>
      </c>
      <c r="Z27" s="714" t="s">
        <v>28</v>
      </c>
      <c r="AA27" s="714" t="s">
        <v>1119</v>
      </c>
      <c r="AB27" s="714" t="s">
        <v>1120</v>
      </c>
      <c r="AC27" s="714" t="s">
        <v>28</v>
      </c>
      <c r="AD27" s="714" t="s">
        <v>1119</v>
      </c>
      <c r="AE27" s="714" t="s">
        <v>1120</v>
      </c>
      <c r="AF27" s="714" t="s">
        <v>28</v>
      </c>
      <c r="AG27" s="714" t="s">
        <v>1119</v>
      </c>
      <c r="AH27" s="714" t="s">
        <v>1120</v>
      </c>
      <c r="AI27" s="714" t="s">
        <v>28</v>
      </c>
      <c r="AJ27" s="714" t="s">
        <v>1119</v>
      </c>
      <c r="AK27" s="714" t="s">
        <v>1120</v>
      </c>
      <c r="AL27" s="714" t="s">
        <v>28</v>
      </c>
      <c r="AM27" s="714" t="s">
        <v>1119</v>
      </c>
      <c r="AN27" s="714" t="s">
        <v>1120</v>
      </c>
      <c r="AO27" s="714" t="s">
        <v>28</v>
      </c>
      <c r="AP27" s="714" t="s">
        <v>1119</v>
      </c>
      <c r="AQ27" s="714" t="s">
        <v>1120</v>
      </c>
      <c r="AR27" s="714" t="s">
        <v>28</v>
      </c>
      <c r="AS27" s="714" t="s">
        <v>1119</v>
      </c>
      <c r="AT27" s="714" t="s">
        <v>1120</v>
      </c>
      <c r="AU27" s="714" t="s">
        <v>28</v>
      </c>
      <c r="AV27" s="714" t="s">
        <v>1119</v>
      </c>
      <c r="AW27" s="714" t="s">
        <v>1120</v>
      </c>
      <c r="AX27" s="714" t="s">
        <v>28</v>
      </c>
      <c r="AY27" s="714" t="s">
        <v>1119</v>
      </c>
      <c r="AZ27" s="714" t="s">
        <v>1120</v>
      </c>
      <c r="BA27" s="714" t="s">
        <v>28</v>
      </c>
      <c r="BB27" s="714" t="s">
        <v>1119</v>
      </c>
      <c r="BC27" s="714" t="s">
        <v>1120</v>
      </c>
      <c r="BD27" s="714" t="s">
        <v>28</v>
      </c>
      <c r="BE27" s="714" t="s">
        <v>1119</v>
      </c>
      <c r="BF27" s="714" t="s">
        <v>1120</v>
      </c>
      <c r="BG27" s="714" t="s">
        <v>28</v>
      </c>
      <c r="BH27" s="714" t="s">
        <v>1119</v>
      </c>
      <c r="BI27" s="714" t="s">
        <v>1120</v>
      </c>
      <c r="BJ27" s="714" t="s">
        <v>28</v>
      </c>
      <c r="BK27" s="714" t="s">
        <v>1119</v>
      </c>
      <c r="BL27" s="714" t="s">
        <v>1120</v>
      </c>
      <c r="BM27" s="714" t="s">
        <v>28</v>
      </c>
      <c r="BN27" s="714" t="s">
        <v>1119</v>
      </c>
      <c r="BO27" s="714" t="s">
        <v>1120</v>
      </c>
      <c r="BP27" s="714" t="s">
        <v>28</v>
      </c>
      <c r="BQ27" s="714" t="s">
        <v>1119</v>
      </c>
      <c r="BR27" s="714" t="s">
        <v>1120</v>
      </c>
      <c r="BS27" s="714" t="s">
        <v>28</v>
      </c>
      <c r="BT27" s="714" t="s">
        <v>1119</v>
      </c>
      <c r="BU27" s="714" t="s">
        <v>1120</v>
      </c>
      <c r="BV27" s="714" t="s">
        <v>28</v>
      </c>
      <c r="BW27" s="714" t="s">
        <v>1119</v>
      </c>
      <c r="BX27" s="714" t="s">
        <v>1120</v>
      </c>
      <c r="BY27" s="714" t="s">
        <v>28</v>
      </c>
      <c r="BZ27" s="714" t="s">
        <v>1119</v>
      </c>
      <c r="CA27" s="714" t="s">
        <v>1120</v>
      </c>
      <c r="CB27" s="714" t="s">
        <v>28</v>
      </c>
      <c r="CC27" s="714" t="s">
        <v>1119</v>
      </c>
      <c r="CD27" s="714" t="s">
        <v>1120</v>
      </c>
      <c r="CE27" s="714" t="s">
        <v>28</v>
      </c>
      <c r="CF27" s="714" t="s">
        <v>1119</v>
      </c>
      <c r="CG27" s="714" t="s">
        <v>1120</v>
      </c>
      <c r="CH27" s="714" t="s">
        <v>28</v>
      </c>
      <c r="CI27" s="714" t="s">
        <v>1119</v>
      </c>
      <c r="CJ27" s="714" t="s">
        <v>1120</v>
      </c>
      <c r="CK27" s="714" t="s">
        <v>28</v>
      </c>
      <c r="CL27" s="714" t="s">
        <v>1119</v>
      </c>
      <c r="CM27" s="714" t="s">
        <v>1120</v>
      </c>
      <c r="CN27" s="714" t="s">
        <v>28</v>
      </c>
      <c r="CO27" s="714" t="s">
        <v>1119</v>
      </c>
      <c r="CP27" s="714" t="s">
        <v>1120</v>
      </c>
      <c r="CQ27" s="714" t="s">
        <v>28</v>
      </c>
      <c r="CR27" s="714" t="s">
        <v>1119</v>
      </c>
      <c r="CS27" s="714" t="s">
        <v>1120</v>
      </c>
      <c r="CT27" s="714" t="s">
        <v>28</v>
      </c>
      <c r="CU27" s="714" t="s">
        <v>1119</v>
      </c>
      <c r="CV27" s="714" t="s">
        <v>1120</v>
      </c>
      <c r="CW27" s="714" t="s">
        <v>28</v>
      </c>
      <c r="CX27" s="714" t="s">
        <v>1119</v>
      </c>
      <c r="CY27" s="714" t="s">
        <v>1120</v>
      </c>
      <c r="CZ27" s="714" t="s">
        <v>28</v>
      </c>
      <c r="DA27" s="714" t="s">
        <v>1119</v>
      </c>
      <c r="DB27" s="714" t="s">
        <v>1120</v>
      </c>
      <c r="DC27" s="714" t="s">
        <v>28</v>
      </c>
      <c r="DD27" s="714" t="s">
        <v>1119</v>
      </c>
      <c r="DE27" s="714" t="s">
        <v>1120</v>
      </c>
      <c r="DF27" s="714" t="s">
        <v>28</v>
      </c>
      <c r="DG27" s="714" t="s">
        <v>1119</v>
      </c>
      <c r="DH27" s="714" t="s">
        <v>1120</v>
      </c>
      <c r="DI27" s="714" t="s">
        <v>28</v>
      </c>
      <c r="DJ27" s="714" t="s">
        <v>1119</v>
      </c>
      <c r="DK27" s="714" t="s">
        <v>1120</v>
      </c>
      <c r="DL27" s="714" t="s">
        <v>28</v>
      </c>
      <c r="DM27" s="714" t="s">
        <v>1119</v>
      </c>
      <c r="DN27" s="714" t="s">
        <v>1120</v>
      </c>
      <c r="DO27" s="714" t="s">
        <v>28</v>
      </c>
      <c r="DP27" s="714" t="s">
        <v>1119</v>
      </c>
      <c r="DQ27" s="714" t="s">
        <v>1120</v>
      </c>
      <c r="DR27" s="714" t="s">
        <v>28</v>
      </c>
      <c r="DS27" s="714" t="s">
        <v>1119</v>
      </c>
      <c r="DT27" s="714" t="s">
        <v>1120</v>
      </c>
      <c r="DU27" s="714" t="s">
        <v>28</v>
      </c>
      <c r="DV27" s="714" t="s">
        <v>1119</v>
      </c>
      <c r="DW27" s="714" t="s">
        <v>1120</v>
      </c>
      <c r="DX27" s="714" t="s">
        <v>28</v>
      </c>
      <c r="DY27" s="714" t="s">
        <v>1119</v>
      </c>
      <c r="DZ27" s="714" t="s">
        <v>1120</v>
      </c>
      <c r="EA27" s="714" t="s">
        <v>28</v>
      </c>
      <c r="EB27" s="714" t="s">
        <v>1119</v>
      </c>
      <c r="EC27" s="714" t="s">
        <v>1120</v>
      </c>
      <c r="ED27" s="714" t="s">
        <v>28</v>
      </c>
      <c r="EE27" s="714" t="s">
        <v>1119</v>
      </c>
      <c r="EF27" s="714" t="s">
        <v>1120</v>
      </c>
    </row>
    <row r="28" spans="2:136" x14ac:dyDescent="0.25">
      <c r="E28" s="714">
        <v>2.2000000000000002</v>
      </c>
      <c r="F28" s="714">
        <v>2.2000000000000002</v>
      </c>
      <c r="G28" s="714">
        <v>2.2000000000000002</v>
      </c>
      <c r="H28" s="714">
        <v>2.2000000000000002</v>
      </c>
      <c r="I28" s="714">
        <v>2.2000000000000002</v>
      </c>
      <c r="J28" s="714">
        <v>2.2000000000000002</v>
      </c>
      <c r="K28" s="714" t="s">
        <v>702</v>
      </c>
      <c r="L28" s="714" t="s">
        <v>702</v>
      </c>
      <c r="M28" s="714" t="s">
        <v>702</v>
      </c>
      <c r="N28" s="714" t="s">
        <v>702</v>
      </c>
      <c r="O28" s="714" t="s">
        <v>702</v>
      </c>
      <c r="P28" s="714" t="s">
        <v>702</v>
      </c>
      <c r="Q28" s="714" t="s">
        <v>704</v>
      </c>
      <c r="R28" s="714" t="s">
        <v>704</v>
      </c>
      <c r="S28" s="714" t="s">
        <v>704</v>
      </c>
      <c r="T28" s="714" t="s">
        <v>704</v>
      </c>
      <c r="U28" s="714" t="s">
        <v>704</v>
      </c>
      <c r="V28" s="714" t="s">
        <v>704</v>
      </c>
      <c r="W28" s="714">
        <v>4.2</v>
      </c>
      <c r="X28" s="714">
        <v>4.2</v>
      </c>
      <c r="Y28" s="714">
        <v>4.2</v>
      </c>
      <c r="Z28" s="714">
        <v>4.2</v>
      </c>
      <c r="AA28" s="714">
        <v>4.2</v>
      </c>
      <c r="AB28" s="714">
        <v>4.2</v>
      </c>
      <c r="AC28" s="714" t="s">
        <v>732</v>
      </c>
      <c r="AD28" s="714" t="s">
        <v>732</v>
      </c>
      <c r="AE28" s="714" t="s">
        <v>732</v>
      </c>
      <c r="AF28" s="714" t="s">
        <v>732</v>
      </c>
      <c r="AG28" s="714" t="s">
        <v>732</v>
      </c>
      <c r="AH28" s="714" t="s">
        <v>732</v>
      </c>
      <c r="AI28" s="714" t="s">
        <v>734</v>
      </c>
      <c r="AJ28" s="714" t="s">
        <v>734</v>
      </c>
      <c r="AK28" s="714" t="s">
        <v>734</v>
      </c>
      <c r="AL28" s="714" t="s">
        <v>734</v>
      </c>
      <c r="AM28" s="714" t="s">
        <v>734</v>
      </c>
      <c r="AN28" s="714" t="s">
        <v>734</v>
      </c>
      <c r="AO28" s="714" t="s">
        <v>736</v>
      </c>
      <c r="AP28" s="714" t="s">
        <v>736</v>
      </c>
      <c r="AQ28" s="714" t="s">
        <v>736</v>
      </c>
      <c r="AR28" s="714" t="s">
        <v>736</v>
      </c>
      <c r="AS28" s="714" t="s">
        <v>736</v>
      </c>
      <c r="AT28" s="714" t="s">
        <v>736</v>
      </c>
      <c r="AU28" s="714" t="s">
        <v>738</v>
      </c>
      <c r="AV28" s="714" t="s">
        <v>738</v>
      </c>
      <c r="AW28" s="714" t="s">
        <v>738</v>
      </c>
      <c r="AX28" s="714" t="s">
        <v>738</v>
      </c>
      <c r="AY28" s="714" t="s">
        <v>738</v>
      </c>
      <c r="AZ28" s="714" t="s">
        <v>738</v>
      </c>
      <c r="BA28" s="714" t="s">
        <v>744</v>
      </c>
      <c r="BB28" s="714" t="s">
        <v>744</v>
      </c>
      <c r="BC28" s="714" t="s">
        <v>744</v>
      </c>
      <c r="BD28" s="714" t="s">
        <v>744</v>
      </c>
      <c r="BE28" s="714" t="s">
        <v>744</v>
      </c>
      <c r="BF28" s="714" t="s">
        <v>744</v>
      </c>
      <c r="BG28" s="714" t="s">
        <v>746</v>
      </c>
      <c r="BH28" s="714" t="s">
        <v>746</v>
      </c>
      <c r="BI28" s="714" t="s">
        <v>746</v>
      </c>
      <c r="BJ28" s="714" t="s">
        <v>746</v>
      </c>
      <c r="BK28" s="714" t="s">
        <v>746</v>
      </c>
      <c r="BL28" s="714" t="s">
        <v>746</v>
      </c>
      <c r="BM28" s="714" t="s">
        <v>748</v>
      </c>
      <c r="BN28" s="714" t="s">
        <v>748</v>
      </c>
      <c r="BO28" s="714" t="s">
        <v>748</v>
      </c>
      <c r="BP28" s="714" t="s">
        <v>748</v>
      </c>
      <c r="BQ28" s="714" t="s">
        <v>748</v>
      </c>
      <c r="BR28" s="714" t="s">
        <v>748</v>
      </c>
      <c r="BS28" s="714" t="s">
        <v>752</v>
      </c>
      <c r="BT28" s="714" t="s">
        <v>752</v>
      </c>
      <c r="BU28" s="714" t="s">
        <v>752</v>
      </c>
      <c r="BV28" s="714" t="s">
        <v>752</v>
      </c>
      <c r="BW28" s="714" t="s">
        <v>752</v>
      </c>
      <c r="BX28" s="714" t="s">
        <v>752</v>
      </c>
      <c r="BY28" s="1458">
        <v>5.0999999999999996</v>
      </c>
      <c r="BZ28" s="1458">
        <v>5.0999999999999996</v>
      </c>
      <c r="CA28" s="1458">
        <v>5.0999999999999996</v>
      </c>
      <c r="CB28" s="1458">
        <v>5.0999999999999996</v>
      </c>
      <c r="CC28" s="1458">
        <v>5.0999999999999996</v>
      </c>
      <c r="CD28" s="1458">
        <v>5.0999999999999996</v>
      </c>
      <c r="CE28" s="714">
        <v>5.1100000000000003</v>
      </c>
      <c r="CF28" s="714">
        <v>5.1100000000000003</v>
      </c>
      <c r="CG28" s="714">
        <v>5.1100000000000003</v>
      </c>
      <c r="CH28" s="714">
        <v>5.1100000000000003</v>
      </c>
      <c r="CI28" s="714">
        <v>5.1100000000000003</v>
      </c>
      <c r="CJ28" s="714">
        <v>5.1100000000000003</v>
      </c>
      <c r="CK28" s="714">
        <v>5.12</v>
      </c>
      <c r="CL28" s="714">
        <v>5.12</v>
      </c>
      <c r="CM28" s="714">
        <v>5.12</v>
      </c>
      <c r="CN28" s="714">
        <v>5.12</v>
      </c>
      <c r="CO28" s="714">
        <v>5.12</v>
      </c>
      <c r="CP28" s="714">
        <v>5.12</v>
      </c>
      <c r="CQ28" s="714">
        <v>5.13</v>
      </c>
      <c r="CR28" s="714">
        <v>5.13</v>
      </c>
      <c r="CS28" s="714">
        <v>5.13</v>
      </c>
      <c r="CT28" s="714">
        <v>5.13</v>
      </c>
      <c r="CU28" s="714">
        <v>5.13</v>
      </c>
      <c r="CV28" s="714">
        <v>5.13</v>
      </c>
      <c r="CW28" s="714" t="s">
        <v>776</v>
      </c>
      <c r="CX28" s="714" t="s">
        <v>776</v>
      </c>
      <c r="CY28" s="714" t="s">
        <v>776</v>
      </c>
      <c r="CZ28" s="714" t="s">
        <v>776</v>
      </c>
      <c r="DA28" s="714" t="s">
        <v>776</v>
      </c>
      <c r="DB28" s="714" t="s">
        <v>776</v>
      </c>
      <c r="DC28" s="714" t="s">
        <v>778</v>
      </c>
      <c r="DD28" s="714" t="s">
        <v>778</v>
      </c>
      <c r="DE28" s="714" t="s">
        <v>778</v>
      </c>
      <c r="DF28" s="714" t="s">
        <v>778</v>
      </c>
      <c r="DG28" s="714" t="s">
        <v>778</v>
      </c>
      <c r="DH28" s="714" t="s">
        <v>778</v>
      </c>
      <c r="DI28" s="714" t="s">
        <v>779</v>
      </c>
      <c r="DJ28" s="714" t="s">
        <v>779</v>
      </c>
      <c r="DK28" s="714" t="s">
        <v>779</v>
      </c>
      <c r="DL28" s="714" t="s">
        <v>779</v>
      </c>
      <c r="DM28" s="714" t="s">
        <v>779</v>
      </c>
      <c r="DN28" s="714" t="s">
        <v>779</v>
      </c>
      <c r="DO28" s="714" t="s">
        <v>781</v>
      </c>
      <c r="DP28" s="714" t="s">
        <v>781</v>
      </c>
      <c r="DQ28" s="714" t="s">
        <v>781</v>
      </c>
      <c r="DR28" s="714" t="s">
        <v>781</v>
      </c>
      <c r="DS28" s="714" t="s">
        <v>781</v>
      </c>
      <c r="DT28" s="714" t="s">
        <v>781</v>
      </c>
      <c r="DU28" s="714" t="s">
        <v>791</v>
      </c>
      <c r="DV28" s="714" t="s">
        <v>791</v>
      </c>
      <c r="DW28" s="714" t="s">
        <v>791</v>
      </c>
      <c r="DX28" s="714" t="s">
        <v>791</v>
      </c>
      <c r="DY28" s="714" t="s">
        <v>791</v>
      </c>
      <c r="DZ28" s="714" t="s">
        <v>791</v>
      </c>
      <c r="EA28" s="714" t="s">
        <v>793</v>
      </c>
      <c r="EB28" s="714" t="s">
        <v>793</v>
      </c>
      <c r="EC28" s="714" t="s">
        <v>793</v>
      </c>
      <c r="ED28" s="714" t="s">
        <v>793</v>
      </c>
      <c r="EE28" s="714" t="s">
        <v>793</v>
      </c>
      <c r="EF28" s="714" t="s">
        <v>793</v>
      </c>
    </row>
  </sheetData>
  <dataValidations count="3">
    <dataValidation type="list" allowBlank="1" showInputMessage="1" showErrorMessage="1" sqref="C17" xr:uid="{00000000-0002-0000-0200-000000000000}">
      <formula1>INDIRECT($A$15&amp;(SUBSTITUTE(B15," ",""))&amp;$B$17)</formula1>
    </dataValidation>
    <dataValidation type="list" allowBlank="1" showInputMessage="1" showErrorMessage="1" sqref="B15" xr:uid="{00000000-0002-0000-0200-000001000000}">
      <formula1>Type</formula1>
    </dataValidation>
    <dataValidation type="list" allowBlank="1" showInputMessage="1" showErrorMessage="1" sqref="A15" xr:uid="{00000000-0002-0000-0200-000002000000}">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2:H65"/>
  <sheetViews>
    <sheetView topLeftCell="A31" zoomScaleNormal="100" workbookViewId="0">
      <selection activeCell="C85" sqref="C85"/>
    </sheetView>
  </sheetViews>
  <sheetFormatPr defaultColWidth="9.140625" defaultRowHeight="12.75" x14ac:dyDescent="0.2"/>
  <cols>
    <col min="1" max="2" width="1.7109375" style="1472" customWidth="1"/>
    <col min="3" max="3" width="29.140625" style="1472" bestFit="1" customWidth="1"/>
    <col min="4" max="4" width="68.85546875" style="1472" bestFit="1" customWidth="1"/>
    <col min="5" max="5" width="6.42578125" style="1472" bestFit="1" customWidth="1"/>
    <col min="6" max="6" width="1.7109375" style="1472" customWidth="1"/>
    <col min="7" max="16384" width="9.140625" style="1472"/>
  </cols>
  <sheetData>
    <row r="2" spans="2:6" ht="9" customHeight="1" thickBot="1" x14ac:dyDescent="0.25"/>
    <row r="3" spans="2:6" ht="9" customHeight="1" thickBot="1" x14ac:dyDescent="0.25">
      <c r="B3" s="1473"/>
      <c r="C3" s="1474"/>
      <c r="D3" s="1474"/>
      <c r="E3" s="1474"/>
      <c r="F3" s="1475"/>
    </row>
    <row r="4" spans="2:6" ht="13.5" thickBot="1" x14ac:dyDescent="0.25">
      <c r="B4" s="1476"/>
      <c r="C4" s="1477" t="s">
        <v>1129</v>
      </c>
      <c r="D4" s="1478"/>
      <c r="E4" s="1479"/>
      <c r="F4" s="1480"/>
    </row>
    <row r="5" spans="2:6" ht="13.5" thickBot="1" x14ac:dyDescent="0.25">
      <c r="B5" s="1476"/>
      <c r="C5" s="1481"/>
      <c r="D5" s="1481"/>
      <c r="E5" s="1481"/>
      <c r="F5" s="1480"/>
    </row>
    <row r="6" spans="2:6" ht="13.5" thickBot="1" x14ac:dyDescent="0.25">
      <c r="B6" s="1476"/>
      <c r="C6" s="1482" t="s">
        <v>88</v>
      </c>
      <c r="D6" s="1483" t="s">
        <v>89</v>
      </c>
      <c r="E6" s="1484"/>
      <c r="F6" s="1480"/>
    </row>
    <row r="7" spans="2:6" x14ac:dyDescent="0.2">
      <c r="B7" s="1476"/>
      <c r="C7" s="1485" t="s">
        <v>90</v>
      </c>
      <c r="D7" s="1485" t="s">
        <v>91</v>
      </c>
      <c r="E7" s="1485" t="b">
        <f>IF((IFERROR(MATCH(D7,'5'!$D$17:$D$77,0),0))&lt;&gt;0,TRUE,FALSE)</f>
        <v>1</v>
      </c>
      <c r="F7" s="1480"/>
    </row>
    <row r="8" spans="2:6" x14ac:dyDescent="0.2">
      <c r="B8" s="1476"/>
      <c r="C8" s="1485" t="s">
        <v>93</v>
      </c>
      <c r="D8" s="1485" t="s">
        <v>94</v>
      </c>
      <c r="E8" s="1485" t="b">
        <f>IF((IFERROR(MATCH(D8,'5'!$D$17:$D$77,0),0))&lt;&gt;0,TRUE,FALSE)</f>
        <v>1</v>
      </c>
      <c r="F8" s="1480"/>
    </row>
    <row r="9" spans="2:6" x14ac:dyDescent="0.2">
      <c r="B9" s="1476"/>
      <c r="C9" s="1485" t="s">
        <v>93</v>
      </c>
      <c r="D9" s="1485" t="s">
        <v>96</v>
      </c>
      <c r="E9" s="1485" t="b">
        <f>IF((IFERROR(MATCH(D9,'5'!$D$17:$D$77,0),0))&lt;&gt;0,TRUE,FALSE)</f>
        <v>1</v>
      </c>
      <c r="F9" s="1480"/>
    </row>
    <row r="10" spans="2:6" x14ac:dyDescent="0.2">
      <c r="B10" s="1476"/>
      <c r="C10" s="1485" t="s">
        <v>1130</v>
      </c>
      <c r="D10" s="1485" t="s">
        <v>99</v>
      </c>
      <c r="E10" s="1485" t="b">
        <f>IF((IFERROR(MATCH(D10,'5'!$D$17:$D$77,0),0))&lt;&gt;0,TRUE,FALSE)</f>
        <v>1</v>
      </c>
      <c r="F10" s="1480"/>
    </row>
    <row r="11" spans="2:6" x14ac:dyDescent="0.2">
      <c r="B11" s="1476"/>
      <c r="C11" s="1485" t="s">
        <v>1130</v>
      </c>
      <c r="D11" s="1485" t="s">
        <v>101</v>
      </c>
      <c r="E11" s="1485" t="b">
        <f>IF((IFERROR(MATCH(D11,'5'!$D$17:$D$77,0),0))&lt;&gt;0,TRUE,FALSE)</f>
        <v>1</v>
      </c>
      <c r="F11" s="1480"/>
    </row>
    <row r="12" spans="2:6" x14ac:dyDescent="0.2">
      <c r="B12" s="1476"/>
      <c r="C12" s="1485" t="s">
        <v>1130</v>
      </c>
      <c r="D12" s="1485" t="s">
        <v>102</v>
      </c>
      <c r="E12" s="1485" t="b">
        <f>IF((IFERROR(MATCH(D12,'5'!$D$17:$D$77,0),0))&lt;&gt;0,TRUE,FALSE)</f>
        <v>1</v>
      </c>
      <c r="F12" s="1480"/>
    </row>
    <row r="13" spans="2:6" x14ac:dyDescent="0.2">
      <c r="B13" s="1476"/>
      <c r="C13" s="1485" t="s">
        <v>1130</v>
      </c>
      <c r="D13" s="1485" t="s">
        <v>103</v>
      </c>
      <c r="E13" s="1485" t="b">
        <f>IF((IFERROR(MATCH(D13,'5'!$D$17:$D$77,0),0))&lt;&gt;0,TRUE,FALSE)</f>
        <v>1</v>
      </c>
      <c r="F13" s="1480"/>
    </row>
    <row r="14" spans="2:6" x14ac:dyDescent="0.2">
      <c r="B14" s="1476"/>
      <c r="C14" s="1485" t="s">
        <v>1130</v>
      </c>
      <c r="D14" s="1485" t="s">
        <v>104</v>
      </c>
      <c r="E14" s="1485" t="b">
        <f>IF((IFERROR(MATCH(D14,'5'!$D$17:$D$77,0),0))&lt;&gt;0,TRUE,FALSE)</f>
        <v>1</v>
      </c>
      <c r="F14" s="1480"/>
    </row>
    <row r="15" spans="2:6" x14ac:dyDescent="0.2">
      <c r="B15" s="1476"/>
      <c r="C15" s="1485" t="s">
        <v>1130</v>
      </c>
      <c r="D15" s="1485" t="s">
        <v>105</v>
      </c>
      <c r="E15" s="1485" t="b">
        <f>IF((IFERROR(MATCH(D15,'5'!$D$17:$D$77,0),0))&lt;&gt;0,TRUE,FALSE)</f>
        <v>1</v>
      </c>
      <c r="F15" s="1480"/>
    </row>
    <row r="16" spans="2:6" x14ac:dyDescent="0.2">
      <c r="B16" s="1476"/>
      <c r="C16" s="1485" t="s">
        <v>1130</v>
      </c>
      <c r="D16" s="1485" t="s">
        <v>106</v>
      </c>
      <c r="E16" s="1485" t="b">
        <f>IF((IFERROR(MATCH(D16,'5'!$D$17:$D$77,0),0))&lt;&gt;0,TRUE,FALSE)</f>
        <v>1</v>
      </c>
      <c r="F16" s="1480"/>
    </row>
    <row r="17" spans="2:8" x14ac:dyDescent="0.2">
      <c r="B17" s="1476"/>
      <c r="C17" s="1485" t="s">
        <v>1130</v>
      </c>
      <c r="D17" s="1485" t="s">
        <v>107</v>
      </c>
      <c r="E17" s="1485" t="b">
        <f>IF((IFERROR(MATCH(D17,'5'!$D$17:$D$77,0),0))&lt;&gt;0,TRUE,FALSE)</f>
        <v>1</v>
      </c>
      <c r="F17" s="1480"/>
    </row>
    <row r="18" spans="2:8" x14ac:dyDescent="0.2">
      <c r="B18" s="1476"/>
      <c r="C18" s="1485" t="s">
        <v>1130</v>
      </c>
      <c r="D18" s="1485" t="s">
        <v>108</v>
      </c>
      <c r="E18" s="1485" t="b">
        <f>IF((IFERROR(MATCH(D18,'5'!$D$17:$D$77,0),0))&lt;&gt;0,TRUE,FALSE)</f>
        <v>1</v>
      </c>
      <c r="F18" s="1480"/>
    </row>
    <row r="19" spans="2:8" x14ac:dyDescent="0.2">
      <c r="B19" s="1476"/>
      <c r="C19" s="1485" t="s">
        <v>1130</v>
      </c>
      <c r="D19" s="1485" t="s">
        <v>109</v>
      </c>
      <c r="E19" s="1485" t="b">
        <f>IF((IFERROR(MATCH(D19,'5'!$D$17:$D$77,0),0))&lt;&gt;0,TRUE,FALSE)</f>
        <v>1</v>
      </c>
      <c r="F19" s="1480"/>
    </row>
    <row r="20" spans="2:8" x14ac:dyDescent="0.2">
      <c r="B20" s="1476"/>
      <c r="C20" s="1485" t="s">
        <v>110</v>
      </c>
      <c r="D20" s="1485" t="s">
        <v>111</v>
      </c>
      <c r="E20" s="1485" t="b">
        <f>IF((IFERROR(MATCH(D20,'5'!$D$17:$D$77,0),0))&lt;&gt;0,TRUE,FALSE)</f>
        <v>1</v>
      </c>
      <c r="F20" s="1480"/>
    </row>
    <row r="21" spans="2:8" x14ac:dyDescent="0.2">
      <c r="B21" s="1476"/>
      <c r="C21" s="1485" t="s">
        <v>110</v>
      </c>
      <c r="D21" s="1485" t="s">
        <v>112</v>
      </c>
      <c r="E21" s="1485" t="b">
        <f>IF((IFERROR(MATCH(D21,'5'!$D$17:$D$77,0),0))&lt;&gt;0,TRUE,FALSE)</f>
        <v>1</v>
      </c>
      <c r="F21" s="1480"/>
    </row>
    <row r="22" spans="2:8" x14ac:dyDescent="0.2">
      <c r="B22" s="1476"/>
      <c r="C22" s="1485" t="s">
        <v>110</v>
      </c>
      <c r="D22" s="1485" t="s">
        <v>113</v>
      </c>
      <c r="E22" s="1485" t="b">
        <f>IF((IFERROR(MATCH(D22,'5'!$D$17:$D$77,0),0))&lt;&gt;0,TRUE,FALSE)</f>
        <v>1</v>
      </c>
      <c r="F22" s="1480"/>
      <c r="H22" s="1486"/>
    </row>
    <row r="23" spans="2:8" x14ac:dyDescent="0.2">
      <c r="B23" s="1476"/>
      <c r="C23" s="1485" t="s">
        <v>110</v>
      </c>
      <c r="D23" s="1485" t="s">
        <v>114</v>
      </c>
      <c r="E23" s="1485" t="b">
        <f>IF((IFERROR(MATCH(D23,'5'!$D$17:$D$77,0),0))&lt;&gt;0,TRUE,FALSE)</f>
        <v>1</v>
      </c>
      <c r="F23" s="1480"/>
    </row>
    <row r="24" spans="2:8" x14ac:dyDescent="0.2">
      <c r="B24" s="1476"/>
      <c r="C24" s="1485" t="s">
        <v>110</v>
      </c>
      <c r="D24" s="1485" t="s">
        <v>115</v>
      </c>
      <c r="E24" s="1485" t="b">
        <f>IF((IFERROR(MATCH(D24,'5'!$D$17:$D$77,0),0))&lt;&gt;0,TRUE,FALSE)</f>
        <v>1</v>
      </c>
      <c r="F24" s="1480"/>
    </row>
    <row r="25" spans="2:8" x14ac:dyDescent="0.2">
      <c r="B25" s="1476"/>
      <c r="C25" s="1485" t="s">
        <v>110</v>
      </c>
      <c r="D25" s="1485" t="s">
        <v>116</v>
      </c>
      <c r="E25" s="1485" t="b">
        <f>IF((IFERROR(MATCH(D25,'5'!$D$17:$D$77,0),0))&lt;&gt;0,TRUE,FALSE)</f>
        <v>1</v>
      </c>
      <c r="F25" s="1480"/>
    </row>
    <row r="26" spans="2:8" x14ac:dyDescent="0.2">
      <c r="B26" s="1476"/>
      <c r="C26" s="1485" t="s">
        <v>110</v>
      </c>
      <c r="D26" s="1485" t="s">
        <v>117</v>
      </c>
      <c r="E26" s="1485" t="b">
        <f>IF((IFERROR(MATCH(D26,'5'!$D$17:$D$77,0),0))&lt;&gt;0,TRUE,FALSE)</f>
        <v>1</v>
      </c>
      <c r="F26" s="1480"/>
    </row>
    <row r="27" spans="2:8" x14ac:dyDescent="0.2">
      <c r="B27" s="1476"/>
      <c r="C27" s="1485" t="s">
        <v>110</v>
      </c>
      <c r="D27" s="1485" t="s">
        <v>118</v>
      </c>
      <c r="E27" s="1485" t="b">
        <f>IF((IFERROR(MATCH(D27,'5'!$D$17:$D$77,0),0))&lt;&gt;0,TRUE,FALSE)</f>
        <v>1</v>
      </c>
      <c r="F27" s="1480"/>
    </row>
    <row r="28" spans="2:8" x14ac:dyDescent="0.2">
      <c r="B28" s="1476"/>
      <c r="C28" s="1485" t="s">
        <v>119</v>
      </c>
      <c r="D28" s="1485" t="s">
        <v>120</v>
      </c>
      <c r="E28" s="1485" t="b">
        <f>IF((IFERROR(MATCH(D28,'5'!$D$17:$D$77,0),0))&lt;&gt;0,TRUE,FALSE)</f>
        <v>1</v>
      </c>
      <c r="F28" s="1480"/>
    </row>
    <row r="29" spans="2:8" x14ac:dyDescent="0.2">
      <c r="B29" s="1476"/>
      <c r="C29" s="1485" t="s">
        <v>121</v>
      </c>
      <c r="D29" s="1485" t="s">
        <v>122</v>
      </c>
      <c r="E29" s="1485" t="b">
        <f>IF((IFERROR(MATCH(D29,'5'!$D$17:$D$77,0),0))&lt;&gt;0,TRUE,FALSE)</f>
        <v>1</v>
      </c>
      <c r="F29" s="1480"/>
    </row>
    <row r="30" spans="2:8" x14ac:dyDescent="0.2">
      <c r="B30" s="1476"/>
      <c r="C30" s="1485" t="s">
        <v>119</v>
      </c>
      <c r="D30" s="1485" t="s">
        <v>123</v>
      </c>
      <c r="E30" s="1485" t="b">
        <f>IF((IFERROR(MATCH(D30,'5'!$D$17:$D$77,0),0))&lt;&gt;0,TRUE,FALSE)</f>
        <v>1</v>
      </c>
      <c r="F30" s="1480"/>
    </row>
    <row r="31" spans="2:8" x14ac:dyDescent="0.2">
      <c r="B31" s="1476"/>
      <c r="C31" s="1485" t="s">
        <v>119</v>
      </c>
      <c r="D31" s="1485" t="s">
        <v>123</v>
      </c>
      <c r="E31" s="1485" t="b">
        <f>IF((IFERROR(MATCH(D31,'5'!$D$17:$D$77,0),0))&lt;&gt;0,TRUE,FALSE)</f>
        <v>1</v>
      </c>
      <c r="F31" s="1480"/>
    </row>
    <row r="32" spans="2:8" x14ac:dyDescent="0.2">
      <c r="B32" s="1476"/>
      <c r="C32" s="1485" t="s">
        <v>119</v>
      </c>
      <c r="D32" s="1485" t="s">
        <v>123</v>
      </c>
      <c r="E32" s="1485" t="b">
        <f>IF((IFERROR(MATCH(D32,'5'!$D$17:$D$77,0),0))&lt;&gt;0,TRUE,FALSE)</f>
        <v>1</v>
      </c>
      <c r="F32" s="1480"/>
    </row>
    <row r="33" spans="2:6" x14ac:dyDescent="0.2">
      <c r="B33" s="1476"/>
      <c r="C33" s="1485" t="s">
        <v>121</v>
      </c>
      <c r="D33" s="1485" t="s">
        <v>670</v>
      </c>
      <c r="E33" s="1485" t="b">
        <f>IF((IFERROR(MATCH(D33,'5'!$D$17:$D$77,0),0))&lt;&gt;0,TRUE,FALSE)</f>
        <v>1</v>
      </c>
      <c r="F33" s="1480"/>
    </row>
    <row r="34" spans="2:6" x14ac:dyDescent="0.2">
      <c r="B34" s="1476"/>
      <c r="C34" s="1485" t="s">
        <v>119</v>
      </c>
      <c r="D34" s="1485" t="s">
        <v>124</v>
      </c>
      <c r="E34" s="1485" t="b">
        <f>IF((IFERROR(MATCH(D34,'5'!$D$17:$D$77,0),0))&lt;&gt;0,TRUE,FALSE)</f>
        <v>1</v>
      </c>
      <c r="F34" s="1480"/>
    </row>
    <row r="35" spans="2:6" x14ac:dyDescent="0.2">
      <c r="B35" s="1476"/>
      <c r="C35" s="1485" t="s">
        <v>119</v>
      </c>
      <c r="D35" s="1485" t="s">
        <v>125</v>
      </c>
      <c r="E35" s="1485" t="b">
        <f>IF((IFERROR(MATCH(D35,'5'!$D$17:$D$77,0),0))&lt;&gt;0,TRUE,FALSE)</f>
        <v>1</v>
      </c>
      <c r="F35" s="1480"/>
    </row>
    <row r="36" spans="2:6" x14ac:dyDescent="0.2">
      <c r="B36" s="1476"/>
      <c r="C36" s="1485" t="s">
        <v>121</v>
      </c>
      <c r="D36" s="1485" t="s">
        <v>669</v>
      </c>
      <c r="E36" s="1485" t="b">
        <f>IF((IFERROR(MATCH(D36,'5'!$D$17:$D$77,0),0))&lt;&gt;0,TRUE,FALSE)</f>
        <v>1</v>
      </c>
      <c r="F36" s="1480"/>
    </row>
    <row r="37" spans="2:6" x14ac:dyDescent="0.2">
      <c r="B37" s="1476"/>
      <c r="C37" s="1485" t="s">
        <v>119</v>
      </c>
      <c r="D37" s="1485" t="s">
        <v>126</v>
      </c>
      <c r="E37" s="1485" t="b">
        <f>IF((IFERROR(MATCH(D37,'5'!$D$17:$D$77,0),0))&lt;&gt;0,TRUE,FALSE)</f>
        <v>1</v>
      </c>
      <c r="F37" s="1480"/>
    </row>
    <row r="38" spans="2:6" x14ac:dyDescent="0.2">
      <c r="B38" s="1476"/>
      <c r="C38" s="1485" t="s">
        <v>119</v>
      </c>
      <c r="D38" s="1485" t="s">
        <v>126</v>
      </c>
      <c r="E38" s="1485" t="b">
        <f>IF((IFERROR(MATCH(D38,'5'!$D$17:$D$77,0),0))&lt;&gt;0,TRUE,FALSE)</f>
        <v>1</v>
      </c>
      <c r="F38" s="1480"/>
    </row>
    <row r="39" spans="2:6" x14ac:dyDescent="0.2">
      <c r="B39" s="1476"/>
      <c r="C39" s="1485" t="s">
        <v>119</v>
      </c>
      <c r="D39" s="1485" t="s">
        <v>126</v>
      </c>
      <c r="E39" s="1485" t="b">
        <f>IF((IFERROR(MATCH(D39,'5'!$D$17:$D$77,0),0))&lt;&gt;0,TRUE,FALSE)</f>
        <v>1</v>
      </c>
      <c r="F39" s="1480"/>
    </row>
    <row r="40" spans="2:6" x14ac:dyDescent="0.2">
      <c r="B40" s="1476"/>
      <c r="C40" s="1485" t="s">
        <v>119</v>
      </c>
      <c r="D40" s="1485" t="s">
        <v>127</v>
      </c>
      <c r="E40" s="1485" t="b">
        <f>IF((IFERROR(MATCH(D40,'5'!$D$17:$D$77,0),0))&lt;&gt;0,TRUE,FALSE)</f>
        <v>1</v>
      </c>
      <c r="F40" s="1480"/>
    </row>
    <row r="41" spans="2:6" x14ac:dyDescent="0.2">
      <c r="B41" s="1476"/>
      <c r="C41" s="1485" t="s">
        <v>119</v>
      </c>
      <c r="D41" s="1485" t="s">
        <v>671</v>
      </c>
      <c r="E41" s="1485" t="b">
        <f>IF((IFERROR(MATCH(D41,'5'!$D$17:$D$77,0),0))&lt;&gt;0,TRUE,FALSE)</f>
        <v>1</v>
      </c>
      <c r="F41" s="1480"/>
    </row>
    <row r="42" spans="2:6" x14ac:dyDescent="0.2">
      <c r="B42" s="1476"/>
      <c r="C42" s="1485" t="s">
        <v>128</v>
      </c>
      <c r="D42" s="1485" t="s">
        <v>129</v>
      </c>
      <c r="E42" s="1485" t="b">
        <f>IF((IFERROR(MATCH(D42,'5'!$D$17:$D$77,0),0))&lt;&gt;0,TRUE,FALSE)</f>
        <v>1</v>
      </c>
      <c r="F42" s="1480"/>
    </row>
    <row r="43" spans="2:6" x14ac:dyDescent="0.2">
      <c r="B43" s="1476"/>
      <c r="C43" s="1485" t="s">
        <v>128</v>
      </c>
      <c r="D43" s="1485" t="s">
        <v>130</v>
      </c>
      <c r="E43" s="1485" t="b">
        <f>IF((IFERROR(MATCH(D43,'5'!$D$17:$D$77,0),0))&lt;&gt;0,TRUE,FALSE)</f>
        <v>1</v>
      </c>
      <c r="F43" s="1480"/>
    </row>
    <row r="44" spans="2:6" x14ac:dyDescent="0.2">
      <c r="B44" s="1476"/>
      <c r="C44" s="1485" t="s">
        <v>128</v>
      </c>
      <c r="D44" s="1485" t="s">
        <v>131</v>
      </c>
      <c r="E44" s="1485" t="b">
        <f>IF((IFERROR(MATCH(D44,'5'!$D$17:$D$77,0),0))&lt;&gt;0,TRUE,FALSE)</f>
        <v>1</v>
      </c>
      <c r="F44" s="1480"/>
    </row>
    <row r="45" spans="2:6" x14ac:dyDescent="0.2">
      <c r="B45" s="1476"/>
      <c r="C45" s="1485" t="s">
        <v>128</v>
      </c>
      <c r="D45" s="1485" t="s">
        <v>132</v>
      </c>
      <c r="E45" s="1485" t="b">
        <f>IF((IFERROR(MATCH(D45,'5'!$D$17:$D$77,0),0))&lt;&gt;0,TRUE,FALSE)</f>
        <v>1</v>
      </c>
      <c r="F45" s="1480"/>
    </row>
    <row r="46" spans="2:6" x14ac:dyDescent="0.2">
      <c r="B46" s="1476"/>
      <c r="C46" s="1485" t="s">
        <v>128</v>
      </c>
      <c r="D46" s="1485" t="s">
        <v>133</v>
      </c>
      <c r="E46" s="1485" t="b">
        <f>IF((IFERROR(MATCH(D46,'5'!$D$17:$D$77,0),0))&lt;&gt;0,TRUE,FALSE)</f>
        <v>1</v>
      </c>
      <c r="F46" s="1480"/>
    </row>
    <row r="47" spans="2:6" ht="15" customHeight="1" x14ac:dyDescent="0.2">
      <c r="B47" s="1476"/>
      <c r="C47" s="1485" t="s">
        <v>128</v>
      </c>
      <c r="D47" s="1485" t="s">
        <v>134</v>
      </c>
      <c r="E47" s="1485" t="b">
        <f>IF((IFERROR(MATCH(D47,'5'!$D$17:$D$77,0),0))&lt;&gt;0,TRUE,FALSE)</f>
        <v>1</v>
      </c>
      <c r="F47" s="1480"/>
    </row>
    <row r="48" spans="2:6" ht="15.75" customHeight="1" x14ac:dyDescent="0.2">
      <c r="B48" s="1476"/>
      <c r="C48" s="1485" t="s">
        <v>128</v>
      </c>
      <c r="D48" s="1485" t="s">
        <v>135</v>
      </c>
      <c r="E48" s="1485" t="b">
        <f>IF((IFERROR(MATCH(D48,'5'!$D$17:$D$77,0),0))&lt;&gt;0,TRUE,FALSE)</f>
        <v>1</v>
      </c>
      <c r="F48" s="1480"/>
    </row>
    <row r="49" spans="2:6" x14ac:dyDescent="0.2">
      <c r="B49" s="1476"/>
      <c r="C49" s="1485" t="s">
        <v>136</v>
      </c>
      <c r="D49" s="1485" t="s">
        <v>137</v>
      </c>
      <c r="E49" s="1485" t="b">
        <f>IF((IFERROR(MATCH(D49,'5'!$D$17:$D$77,0),0))&lt;&gt;0,TRUE,FALSE)</f>
        <v>1</v>
      </c>
      <c r="F49" s="1480"/>
    </row>
    <row r="50" spans="2:6" x14ac:dyDescent="0.2">
      <c r="B50" s="1476"/>
      <c r="C50" s="1485" t="s">
        <v>136</v>
      </c>
      <c r="D50" s="1485" t="s">
        <v>672</v>
      </c>
      <c r="E50" s="1485" t="b">
        <f>IF((IFERROR(MATCH(D50,'5'!$D$17:$D$77,0),0))&lt;&gt;0,TRUE,FALSE)</f>
        <v>1</v>
      </c>
      <c r="F50" s="1480"/>
    </row>
    <row r="51" spans="2:6" x14ac:dyDescent="0.2">
      <c r="B51" s="1476"/>
      <c r="C51" s="1485" t="s">
        <v>136</v>
      </c>
      <c r="D51" s="1485" t="s">
        <v>138</v>
      </c>
      <c r="E51" s="1485" t="b">
        <f>IF((IFERROR(MATCH(D51,'5'!$D$17:$D$77,0),0))&lt;&gt;0,TRUE,FALSE)</f>
        <v>1</v>
      </c>
      <c r="F51" s="1480"/>
    </row>
    <row r="52" spans="2:6" x14ac:dyDescent="0.2">
      <c r="B52" s="1476"/>
      <c r="C52" s="1485" t="s">
        <v>139</v>
      </c>
      <c r="D52" s="1485" t="s">
        <v>140</v>
      </c>
      <c r="E52" s="1485" t="b">
        <f>IF((IFERROR(MATCH(D52,'5'!$D$17:$D$77,0),0))&lt;&gt;0,TRUE,FALSE)</f>
        <v>1</v>
      </c>
      <c r="F52" s="1480"/>
    </row>
    <row r="53" spans="2:6" x14ac:dyDescent="0.2">
      <c r="B53" s="1476"/>
      <c r="C53" s="1485" t="s">
        <v>139</v>
      </c>
      <c r="D53" s="1485" t="s">
        <v>141</v>
      </c>
      <c r="E53" s="1485" t="b">
        <f>IF((IFERROR(MATCH(D53,'5'!$D$17:$D$77,0),0))&lt;&gt;0,TRUE,FALSE)</f>
        <v>1</v>
      </c>
      <c r="F53" s="1480"/>
    </row>
    <row r="54" spans="2:6" x14ac:dyDescent="0.2">
      <c r="B54" s="1476"/>
      <c r="C54" s="1485" t="s">
        <v>139</v>
      </c>
      <c r="D54" s="1485" t="s">
        <v>142</v>
      </c>
      <c r="E54" s="1485" t="b">
        <f>IF((IFERROR(MATCH(D54,'5'!$D$17:$D$77,0),0))&lt;&gt;0,TRUE,FALSE)</f>
        <v>1</v>
      </c>
      <c r="F54" s="1480"/>
    </row>
    <row r="55" spans="2:6" x14ac:dyDescent="0.2">
      <c r="B55" s="1476"/>
      <c r="C55" s="1485" t="s">
        <v>139</v>
      </c>
      <c r="D55" s="1485" t="s">
        <v>143</v>
      </c>
      <c r="E55" s="1485" t="b">
        <f>IF((IFERROR(MATCH(D55,'5'!$D$17:$D$77,0),0))&lt;&gt;0,TRUE,FALSE)</f>
        <v>1</v>
      </c>
      <c r="F55" s="1480"/>
    </row>
    <row r="56" spans="2:6" x14ac:dyDescent="0.2">
      <c r="B56" s="1476"/>
      <c r="C56" s="1485" t="s">
        <v>139</v>
      </c>
      <c r="D56" s="1485" t="s">
        <v>144</v>
      </c>
      <c r="E56" s="1485" t="b">
        <f>IF((IFERROR(MATCH(D56,'5'!$D$17:$D$77,0),0))&lt;&gt;0,TRUE,FALSE)</f>
        <v>1</v>
      </c>
      <c r="F56" s="1480"/>
    </row>
    <row r="57" spans="2:6" x14ac:dyDescent="0.2">
      <c r="B57" s="1476"/>
      <c r="C57" s="1485" t="s">
        <v>139</v>
      </c>
      <c r="D57" s="1485" t="s">
        <v>145</v>
      </c>
      <c r="E57" s="1485" t="b">
        <f>IF((IFERROR(MATCH(D57,'5'!$D$17:$D$77,0),0))&lt;&gt;0,TRUE,FALSE)</f>
        <v>1</v>
      </c>
      <c r="F57" s="1480"/>
    </row>
    <row r="58" spans="2:6" x14ac:dyDescent="0.2">
      <c r="B58" s="1476"/>
      <c r="C58" s="1485" t="s">
        <v>139</v>
      </c>
      <c r="D58" s="1485" t="s">
        <v>146</v>
      </c>
      <c r="E58" s="1485" t="b">
        <f>IF((IFERROR(MATCH(D58,'5'!$D$17:$D$77,0),0))&lt;&gt;0,TRUE,FALSE)</f>
        <v>1</v>
      </c>
      <c r="F58" s="1480"/>
    </row>
    <row r="59" spans="2:6" x14ac:dyDescent="0.2">
      <c r="B59" s="1476"/>
      <c r="C59" s="1485" t="s">
        <v>139</v>
      </c>
      <c r="D59" s="1485" t="s">
        <v>147</v>
      </c>
      <c r="E59" s="1485" t="b">
        <f>IF((IFERROR(MATCH(D59,'5'!$D$17:$D$77,0),0))&lt;&gt;0,TRUE,FALSE)</f>
        <v>1</v>
      </c>
      <c r="F59" s="1480"/>
    </row>
    <row r="60" spans="2:6" x14ac:dyDescent="0.2">
      <c r="B60" s="1476"/>
      <c r="C60" s="1485" t="s">
        <v>139</v>
      </c>
      <c r="D60" s="1485" t="s">
        <v>668</v>
      </c>
      <c r="E60" s="1485" t="b">
        <f>IF((IFERROR(MATCH(D60,'5'!$D$17:$D$77,0),0))&lt;&gt;0,TRUE,FALSE)</f>
        <v>1</v>
      </c>
      <c r="F60" s="1480"/>
    </row>
    <row r="61" spans="2:6" ht="13.5" thickBot="1" x14ac:dyDescent="0.25">
      <c r="B61" s="1487"/>
      <c r="C61" s="1488"/>
      <c r="D61" s="1488"/>
      <c r="E61" s="1488"/>
      <c r="F61" s="1489"/>
    </row>
    <row r="62" spans="2:6" ht="9" customHeight="1" x14ac:dyDescent="0.2"/>
    <row r="64" spans="2:6" ht="13.5" thickBot="1" x14ac:dyDescent="0.25"/>
    <row r="65" spans="5:5" ht="13.5" thickBot="1" x14ac:dyDescent="0.25">
      <c r="E65" s="1490">
        <f>COUNTIF(E7:E60,TRUE)</f>
        <v>54</v>
      </c>
    </row>
  </sheetData>
  <sheetProtection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ED10"/>
  <sheetViews>
    <sheetView workbookViewId="0">
      <selection activeCell="CK17" sqref="CK17"/>
    </sheetView>
  </sheetViews>
  <sheetFormatPr defaultRowHeight="15" x14ac:dyDescent="0.25"/>
  <cols>
    <col min="1" max="1" width="8" bestFit="1" customWidth="1"/>
    <col min="2" max="2" width="27.140625" customWidth="1"/>
    <col min="3" max="3" width="13.140625" customWidth="1"/>
    <col min="4" max="4" width="34.140625" customWidth="1"/>
    <col min="5" max="5" width="12.85546875" customWidth="1"/>
    <col min="6" max="6" width="15.85546875" customWidth="1"/>
    <col min="7" max="7" width="16" customWidth="1"/>
    <col min="8" max="8" width="14.85546875" bestFit="1" customWidth="1"/>
    <col min="9" max="9" width="8" bestFit="1" customWidth="1"/>
    <col min="10" max="10" width="9.28515625" bestFit="1" customWidth="1"/>
    <col min="11" max="11" width="16.7109375" customWidth="1"/>
    <col min="12" max="12" width="16.85546875" customWidth="1"/>
    <col min="13" max="13" width="18.85546875" customWidth="1"/>
    <col min="14" max="14" width="9.28515625" bestFit="1" customWidth="1"/>
    <col min="16" max="16" width="19.28515625" customWidth="1"/>
    <col min="17" max="17" width="23.140625" customWidth="1"/>
    <col min="19" max="19" width="8.85546875" bestFit="1" customWidth="1"/>
    <col min="20" max="27" width="3.85546875" customWidth="1"/>
    <col min="28" max="28" width="8.85546875" bestFit="1" customWidth="1"/>
    <col min="29" max="29" width="8" bestFit="1" customWidth="1"/>
    <col min="30" max="30" width="8" customWidth="1"/>
    <col min="31" max="31" width="10.7109375" customWidth="1"/>
    <col min="32" max="32" width="32.85546875" bestFit="1" customWidth="1"/>
    <col min="33" max="33" width="25.5703125" bestFit="1" customWidth="1"/>
    <col min="34" max="34" width="18.7109375" bestFit="1" customWidth="1"/>
    <col min="35" max="35" width="20.85546875" bestFit="1" customWidth="1"/>
    <col min="36" max="36" width="16.140625" bestFit="1" customWidth="1"/>
    <col min="37" max="37" width="9.140625" bestFit="1" customWidth="1"/>
    <col min="38" max="38" width="37.7109375" bestFit="1" customWidth="1"/>
    <col min="39" max="39" width="17.85546875" bestFit="1" customWidth="1"/>
    <col min="40" max="40" width="14.5703125" bestFit="1" customWidth="1"/>
    <col min="41" max="41" width="18" bestFit="1" customWidth="1"/>
    <col min="42" max="42" width="8.140625" bestFit="1" customWidth="1"/>
    <col min="43" max="43" width="6.7109375" style="1970" bestFit="1" customWidth="1"/>
    <col min="44" max="44" width="11.42578125" style="1970" bestFit="1" customWidth="1"/>
    <col min="45" max="45" width="12.5703125" style="1970" bestFit="1" customWidth="1"/>
    <col min="46" max="46" width="29.140625" style="1970" bestFit="1" customWidth="1"/>
    <col min="47" max="47" width="33.28515625" style="1970" bestFit="1" customWidth="1"/>
    <col min="48" max="48" width="3" bestFit="1" customWidth="1"/>
    <col min="49" max="49" width="8" customWidth="1"/>
    <col min="50" max="50" width="10.7109375" customWidth="1"/>
    <col min="51" max="51" width="32.85546875" bestFit="1" customWidth="1"/>
    <col min="52" max="52" width="25.5703125" bestFit="1" customWidth="1"/>
    <col min="53" max="53" width="18.7109375" bestFit="1" customWidth="1"/>
    <col min="54" max="54" width="20.85546875" bestFit="1" customWidth="1"/>
    <col min="55" max="55" width="16.140625" bestFit="1" customWidth="1"/>
    <col min="56" max="56" width="9.140625" bestFit="1" customWidth="1"/>
    <col min="57" max="57" width="37.7109375" bestFit="1" customWidth="1"/>
    <col min="58" max="58" width="17.85546875" bestFit="1" customWidth="1"/>
    <col min="59" max="59" width="14.5703125" bestFit="1" customWidth="1"/>
    <col min="60" max="60" width="18" bestFit="1" customWidth="1"/>
    <col min="61" max="61" width="8.140625" bestFit="1" customWidth="1"/>
    <col min="62" max="62" width="6.7109375" bestFit="1" customWidth="1"/>
    <col min="63" max="63" width="11.42578125" bestFit="1" customWidth="1"/>
    <col min="64" max="64" width="12.5703125" style="1970" bestFit="1" customWidth="1"/>
    <col min="65" max="65" width="29.140625" style="1970" bestFit="1" customWidth="1"/>
    <col min="66" max="66" width="33.28515625" style="1970" bestFit="1" customWidth="1"/>
    <col min="67" max="67" width="35.28515625" bestFit="1" customWidth="1"/>
    <col min="68" max="69" width="8" bestFit="1" customWidth="1"/>
    <col min="70" max="70" width="15.28515625" customWidth="1"/>
    <col min="71" max="71" width="16.140625" customWidth="1"/>
    <col min="72" max="73" width="8" bestFit="1" customWidth="1"/>
    <col min="74" max="74" width="9.42578125" customWidth="1"/>
    <col min="75" max="75" width="8.7109375" customWidth="1"/>
    <col min="76" max="76" width="10.140625" customWidth="1"/>
    <col min="77" max="77" width="10.28515625" customWidth="1"/>
    <col min="78" max="78" width="11" customWidth="1"/>
    <col min="79" max="79" width="11.140625" customWidth="1"/>
    <col min="80" max="80" width="4.42578125" customWidth="1"/>
    <col min="81" max="81" width="4.5703125" customWidth="1"/>
    <col min="82" max="82" width="9.28515625" bestFit="1" customWidth="1"/>
    <col min="84" max="84" width="10.5703125" style="1970" customWidth="1"/>
    <col min="85" max="85" width="4.140625" customWidth="1"/>
    <col min="87" max="87" width="9" bestFit="1" customWidth="1"/>
    <col min="88" max="88" width="14.42578125" customWidth="1"/>
    <col min="89" max="89" width="18" customWidth="1"/>
    <col min="90" max="91" width="9" bestFit="1" customWidth="1"/>
    <col min="92" max="92" width="5.28515625" customWidth="1"/>
    <col min="93" max="93" width="4.5703125" customWidth="1"/>
    <col min="94" max="94" width="6.7109375" customWidth="1"/>
    <col min="95" max="99" width="4.7109375" customWidth="1"/>
    <col min="100" max="100" width="5" customWidth="1"/>
    <col min="101" max="101" width="4" customWidth="1"/>
    <col min="102" max="102" width="5" customWidth="1"/>
    <col min="103" max="103" width="4" customWidth="1"/>
    <col min="104" max="104" width="5" customWidth="1"/>
    <col min="105" max="105" width="4" customWidth="1"/>
    <col min="106" max="106" width="5" customWidth="1"/>
    <col min="107" max="107" width="4" customWidth="1"/>
    <col min="108" max="108" width="5" customWidth="1"/>
    <col min="109" max="109" width="4" customWidth="1"/>
    <col min="110" max="110" width="9" bestFit="1" customWidth="1"/>
    <col min="112" max="113" width="11.140625" customWidth="1"/>
    <col min="114" max="115" width="10" customWidth="1"/>
    <col min="116" max="117" width="10.28515625" customWidth="1"/>
    <col min="120" max="121" width="7.85546875" customWidth="1"/>
    <col min="122" max="122" width="8.85546875" customWidth="1"/>
    <col min="124" max="124" width="9" bestFit="1" customWidth="1"/>
    <col min="125" max="125" width="22.85546875" customWidth="1"/>
    <col min="126" max="126" width="19.85546875" customWidth="1"/>
    <col min="127" max="127" width="29" customWidth="1"/>
    <col min="128" max="128" width="9" bestFit="1" customWidth="1"/>
    <col min="129" max="129" width="10" bestFit="1" customWidth="1"/>
    <col min="130" max="130" width="9.5703125" customWidth="1"/>
    <col min="131" max="131" width="10" bestFit="1" customWidth="1"/>
    <col min="132" max="132" width="10.140625" bestFit="1" customWidth="1"/>
    <col min="133" max="133" width="9.5703125" bestFit="1" customWidth="1"/>
    <col min="134" max="134" width="10.140625" bestFit="1" customWidth="1"/>
  </cols>
  <sheetData>
    <row r="1" spans="1:134" x14ac:dyDescent="0.25">
      <c r="A1" s="2278" t="s">
        <v>2013</v>
      </c>
      <c r="B1" t="s">
        <v>2014</v>
      </c>
      <c r="C1" t="s">
        <v>2015</v>
      </c>
      <c r="D1" t="s">
        <v>2016</v>
      </c>
      <c r="E1" t="s">
        <v>2017</v>
      </c>
      <c r="F1" t="s">
        <v>2018</v>
      </c>
      <c r="G1" t="s">
        <v>2019</v>
      </c>
      <c r="H1" t="s">
        <v>2020</v>
      </c>
      <c r="I1" s="2278" t="s">
        <v>2021</v>
      </c>
      <c r="J1" s="2279" t="s">
        <v>2022</v>
      </c>
      <c r="K1" t="s">
        <v>2023</v>
      </c>
      <c r="L1" t="s">
        <v>50</v>
      </c>
      <c r="M1" t="s">
        <v>51</v>
      </c>
      <c r="N1" s="2279" t="s">
        <v>2024</v>
      </c>
      <c r="O1" s="2278" t="s">
        <v>2025</v>
      </c>
      <c r="P1" t="s">
        <v>2026</v>
      </c>
      <c r="Q1" t="s">
        <v>2027</v>
      </c>
      <c r="R1" s="2278" t="s">
        <v>2028</v>
      </c>
      <c r="S1" s="2279" t="s">
        <v>2029</v>
      </c>
      <c r="T1" t="s">
        <v>2030</v>
      </c>
      <c r="U1" t="s">
        <v>2031</v>
      </c>
      <c r="V1" t="s">
        <v>2032</v>
      </c>
      <c r="W1" t="s">
        <v>2033</v>
      </c>
      <c r="X1" t="s">
        <v>2034</v>
      </c>
      <c r="Y1" t="s">
        <v>2035</v>
      </c>
      <c r="Z1" t="s">
        <v>2036</v>
      </c>
      <c r="AA1" t="s">
        <v>2037</v>
      </c>
      <c r="AB1" s="2279" t="s">
        <v>2038</v>
      </c>
      <c r="AC1" s="2278" t="s">
        <v>2039</v>
      </c>
      <c r="AD1" t="s">
        <v>517</v>
      </c>
      <c r="AE1" t="s">
        <v>518</v>
      </c>
      <c r="AF1" t="s">
        <v>555</v>
      </c>
      <c r="AG1" t="s">
        <v>519</v>
      </c>
      <c r="AH1" t="s">
        <v>520</v>
      </c>
      <c r="AI1" t="s">
        <v>521</v>
      </c>
      <c r="AJ1" t="s">
        <v>522</v>
      </c>
      <c r="AK1" t="s">
        <v>523</v>
      </c>
      <c r="AL1" t="s">
        <v>546</v>
      </c>
      <c r="AM1" t="s">
        <v>524</v>
      </c>
      <c r="AN1" t="s">
        <v>525</v>
      </c>
      <c r="AO1" t="s">
        <v>526</v>
      </c>
      <c r="AP1" t="s">
        <v>527</v>
      </c>
      <c r="AQ1" s="1970" t="s">
        <v>528</v>
      </c>
      <c r="AR1" s="1970" t="s">
        <v>529</v>
      </c>
      <c r="AS1" s="1970" t="s">
        <v>530</v>
      </c>
      <c r="AT1" s="1970" t="s">
        <v>502</v>
      </c>
      <c r="AU1" s="1970" t="s">
        <v>556</v>
      </c>
      <c r="AV1" s="2280" t="s">
        <v>2040</v>
      </c>
      <c r="AW1" s="1970" t="s">
        <v>517</v>
      </c>
      <c r="AX1" s="1970" t="s">
        <v>518</v>
      </c>
      <c r="AY1" s="1970" t="s">
        <v>555</v>
      </c>
      <c r="AZ1" s="1970" t="s">
        <v>519</v>
      </c>
      <c r="BA1" s="1970" t="s">
        <v>520</v>
      </c>
      <c r="BB1" s="1970" t="s">
        <v>521</v>
      </c>
      <c r="BC1" s="1970" t="s">
        <v>522</v>
      </c>
      <c r="BD1" s="1970" t="s">
        <v>523</v>
      </c>
      <c r="BE1" s="1970" t="s">
        <v>546</v>
      </c>
      <c r="BF1" s="1970" t="s">
        <v>524</v>
      </c>
      <c r="BG1" s="1970" t="s">
        <v>525</v>
      </c>
      <c r="BH1" s="1970" t="s">
        <v>526</v>
      </c>
      <c r="BI1" s="1970" t="s">
        <v>527</v>
      </c>
      <c r="BJ1" s="1970" t="s">
        <v>528</v>
      </c>
      <c r="BK1" s="1970" t="s">
        <v>529</v>
      </c>
      <c r="BL1" s="1970" t="s">
        <v>530</v>
      </c>
      <c r="BM1" s="1970" t="s">
        <v>502</v>
      </c>
      <c r="BN1" s="1970" t="s">
        <v>556</v>
      </c>
      <c r="BO1" s="1970" t="s">
        <v>557</v>
      </c>
      <c r="BP1" s="2278" t="s">
        <v>2041</v>
      </c>
      <c r="BQ1" s="2279" t="s">
        <v>2042</v>
      </c>
      <c r="BR1" t="s">
        <v>2043</v>
      </c>
      <c r="BS1" t="s">
        <v>2044</v>
      </c>
      <c r="BT1" s="2279" t="s">
        <v>2045</v>
      </c>
      <c r="BU1" s="2278" t="s">
        <v>2046</v>
      </c>
      <c r="BV1" t="s">
        <v>2047</v>
      </c>
      <c r="BW1" t="s">
        <v>2048</v>
      </c>
      <c r="BX1" t="s">
        <v>2049</v>
      </c>
      <c r="BY1" t="s">
        <v>2050</v>
      </c>
      <c r="BZ1" t="s">
        <v>2051</v>
      </c>
      <c r="CA1" t="s">
        <v>2052</v>
      </c>
      <c r="CB1" t="s">
        <v>2053</v>
      </c>
      <c r="CC1" t="s">
        <v>2054</v>
      </c>
      <c r="CD1" s="2278" t="s">
        <v>2055</v>
      </c>
      <c r="CE1" s="2279" t="s">
        <v>2056</v>
      </c>
      <c r="CF1" s="1970" t="s">
        <v>2057</v>
      </c>
      <c r="CG1" t="s">
        <v>2058</v>
      </c>
      <c r="CH1" s="2279" t="s">
        <v>2059</v>
      </c>
      <c r="CI1" s="2278" t="s">
        <v>2060</v>
      </c>
      <c r="CJ1" t="s">
        <v>2061</v>
      </c>
      <c r="CK1" t="s">
        <v>2062</v>
      </c>
      <c r="CL1" s="2278" t="s">
        <v>2063</v>
      </c>
      <c r="CM1" s="2279" t="s">
        <v>2064</v>
      </c>
      <c r="CN1" t="s">
        <v>37</v>
      </c>
      <c r="CO1" t="s">
        <v>38</v>
      </c>
      <c r="CP1" t="s">
        <v>39</v>
      </c>
      <c r="CQ1" t="s">
        <v>572</v>
      </c>
      <c r="CR1" t="s">
        <v>573</v>
      </c>
      <c r="CS1" t="s">
        <v>574</v>
      </c>
      <c r="CT1" t="s">
        <v>575</v>
      </c>
      <c r="CU1" t="s">
        <v>2065</v>
      </c>
      <c r="CV1">
        <v>0.25</v>
      </c>
      <c r="CW1">
        <v>0.3</v>
      </c>
      <c r="CX1">
        <v>0.35</v>
      </c>
      <c r="CY1">
        <v>0.4</v>
      </c>
      <c r="CZ1">
        <v>0.45</v>
      </c>
      <c r="DA1">
        <v>0.5</v>
      </c>
      <c r="DB1">
        <v>0.55000000000000004</v>
      </c>
      <c r="DC1">
        <v>0.6</v>
      </c>
      <c r="DD1">
        <v>0.65</v>
      </c>
      <c r="DE1">
        <v>0.8</v>
      </c>
      <c r="DF1" s="2279" t="s">
        <v>2066</v>
      </c>
      <c r="DG1" s="2278" t="s">
        <v>2067</v>
      </c>
      <c r="DH1" t="s">
        <v>2068</v>
      </c>
      <c r="DI1" t="s">
        <v>2069</v>
      </c>
      <c r="DJ1" t="s">
        <v>2070</v>
      </c>
      <c r="DK1" t="s">
        <v>2071</v>
      </c>
      <c r="DL1" t="s">
        <v>2072</v>
      </c>
      <c r="DM1" t="s">
        <v>2073</v>
      </c>
      <c r="DN1" s="2278" t="s">
        <v>2074</v>
      </c>
      <c r="DO1" s="2279" t="s">
        <v>2075</v>
      </c>
      <c r="DP1" t="s">
        <v>2076</v>
      </c>
      <c r="DQ1" t="s">
        <v>2077</v>
      </c>
      <c r="DR1" t="s">
        <v>2078</v>
      </c>
      <c r="DS1" s="2279" t="s">
        <v>2079</v>
      </c>
      <c r="DT1" s="2278" t="s">
        <v>2080</v>
      </c>
      <c r="DU1" t="s">
        <v>2081</v>
      </c>
      <c r="DV1" t="s">
        <v>2082</v>
      </c>
      <c r="DW1" t="s">
        <v>2083</v>
      </c>
      <c r="DX1" s="2278" t="s">
        <v>2084</v>
      </c>
      <c r="DY1" s="2279" t="s">
        <v>2085</v>
      </c>
      <c r="DZ1" t="s">
        <v>2086</v>
      </c>
      <c r="EA1" s="2279" t="s">
        <v>2087</v>
      </c>
      <c r="EB1" s="2278" t="s">
        <v>2088</v>
      </c>
      <c r="EC1" t="s">
        <v>2089</v>
      </c>
      <c r="ED1" s="2278" t="s">
        <v>2090</v>
      </c>
    </row>
    <row r="2" spans="1:134" x14ac:dyDescent="0.25">
      <c r="A2" s="2278"/>
      <c r="B2">
        <f>'1'!G8</f>
        <v>0</v>
      </c>
      <c r="C2">
        <f>'1'!G5</f>
        <v>0</v>
      </c>
      <c r="D2">
        <f>'1'!G15</f>
        <v>0</v>
      </c>
      <c r="E2">
        <f>'1'!G29</f>
        <v>0</v>
      </c>
      <c r="F2">
        <f>'1'!J29</f>
        <v>0</v>
      </c>
      <c r="G2">
        <f>'1'!G31</f>
        <v>0</v>
      </c>
      <c r="H2" t="str">
        <f>CONCATENATE((IF('1'!F39="X",'1'!E39,"")),",",(IF('1'!F41="X",'1'!E41,"")),",",(IF('1'!F43="X",'1'!E43,"")),",",(IF('1'!F45="X",'1'!E45,"")),",",(IF('1'!J39="X",'1'!G39,"")),",",(IF('1'!J41="X",'1'!G41,"")),",",(IF('1'!J43="X",'1'!G43,"")),",",(IF('1'!J45="X",'1'!G45,"")),",",(IF('1'!M39="X",'1'!L39,"")),",",(IF('1'!M41="X",'1'!L41,"")))</f>
        <v>,,,,,,,,,</v>
      </c>
      <c r="I2" s="2278"/>
      <c r="J2" s="2279"/>
      <c r="K2" s="2286">
        <f>'2B'!E34</f>
        <v>0</v>
      </c>
      <c r="L2">
        <f>'2A'!J22</f>
        <v>0</v>
      </c>
      <c r="M2">
        <f>'2A'!K22</f>
        <v>0</v>
      </c>
      <c r="N2" s="2279"/>
      <c r="O2" s="2278"/>
      <c r="P2" s="2286">
        <f>'2B'!K34</f>
        <v>0</v>
      </c>
      <c r="Q2" s="2286">
        <f>'2B'!N34</f>
        <v>0</v>
      </c>
      <c r="R2" s="2278"/>
      <c r="S2" s="2279"/>
      <c r="T2">
        <f>'2C'!J142</f>
        <v>0</v>
      </c>
      <c r="U2" s="1970">
        <f>'2C'!J143</f>
        <v>0</v>
      </c>
      <c r="V2" s="1970">
        <f>'2C'!J144</f>
        <v>0</v>
      </c>
      <c r="W2" s="1970">
        <f>'2C'!J145</f>
        <v>0</v>
      </c>
      <c r="X2" s="1970">
        <f>'2C'!J146</f>
        <v>0</v>
      </c>
      <c r="Y2" s="1970">
        <f>'2C'!J147</f>
        <v>0</v>
      </c>
      <c r="Z2" s="1970">
        <f>'2C'!J148</f>
        <v>0</v>
      </c>
      <c r="AA2" s="1970">
        <f>'2C'!J149</f>
        <v>0</v>
      </c>
      <c r="AB2" s="2279"/>
      <c r="AC2" s="2278"/>
      <c r="AD2">
        <f>SUMIFS(Table5[Qty.],Table5[Population Type],AD1,Table5[Homeless at Entry?],"No")</f>
        <v>0</v>
      </c>
      <c r="AE2">
        <f>SUMIFS(Table5[Qty.],Table5[Population Type],AE1,Table5[Homeless at Entry?],"No")</f>
        <v>0</v>
      </c>
      <c r="AF2">
        <f>SUMIFS(Table5[Qty.],Table5[Population Type],AF1,Table5[Homeless at Entry?],"No")</f>
        <v>0</v>
      </c>
      <c r="AG2">
        <f>SUMIFS(Table5[Qty.],Table5[Population Type],AG1,Table5[Homeless at Entry?],"No")</f>
        <v>0</v>
      </c>
      <c r="AH2">
        <f>SUMIFS(Table5[Qty.],Table5[Population Type],AH1,Table5[Homeless at Entry?],"No")</f>
        <v>0</v>
      </c>
      <c r="AI2">
        <f>SUMIFS(Table5[Qty.],Table5[Population Type],AI1,Table5[Homeless at Entry?],"No")</f>
        <v>0</v>
      </c>
      <c r="AJ2">
        <f>SUMIFS(Table5[Qty.],Table5[Population Type],AJ1,Table5[Homeless at Entry?],"No")</f>
        <v>0</v>
      </c>
      <c r="AK2">
        <f>SUMIFS(Table5[Qty.],Table5[Population Type],AK1,Table5[Homeless at Entry?],"No")</f>
        <v>0</v>
      </c>
      <c r="AL2">
        <f>SUMIFS(Table5[Qty.],Table5[Population Type],AL1,Table5[Homeless at Entry?],"No")</f>
        <v>0</v>
      </c>
      <c r="AM2">
        <f>SUMIFS(Table5[Qty.],Table5[Population Type],AM1,Table5[Homeless at Entry?],"No")</f>
        <v>0</v>
      </c>
      <c r="AN2">
        <f>SUMIFS(Table5[Qty.],Table5[Population Type],AN1,Table5[Homeless at Entry?],"No")</f>
        <v>0</v>
      </c>
      <c r="AO2">
        <f>SUMIFS(Table5[Qty.],Table5[Population Type],AO1,Table5[Homeless at Entry?],"No")</f>
        <v>0</v>
      </c>
      <c r="AP2">
        <f>SUMIFS(Table5[Qty.],Table5[Population Type],AP1,Table5[Homeless at Entry?],"No")</f>
        <v>0</v>
      </c>
      <c r="AQ2" s="1970">
        <f>SUMIFS(Table5[Qty.],Table5[Population Type],AQ1,Table5[Homeless at Entry?],"No")</f>
        <v>0</v>
      </c>
      <c r="AR2" s="1970">
        <f>SUMIFS(Table5[Qty.],Table5[Population Type],AR1,Table5[Homeless at Entry?],"No")</f>
        <v>0</v>
      </c>
      <c r="AS2" s="1970">
        <f>SUMIFS(Table5[Qty.],Table5[Population Type],AS1,Table5[Homeless at Entry?],"No")</f>
        <v>0</v>
      </c>
      <c r="AT2" s="1970">
        <f>SUMIFS(Table5[Qty.],Table5[Population Type],AT1,Table5[Homeless at Entry?],"No")</f>
        <v>0</v>
      </c>
      <c r="AU2" s="1970">
        <f>SUMIFS(Table5[Qty.],Table5[Population Type],AU1,Table5[Homeless at Entry?],"No")</f>
        <v>0</v>
      </c>
      <c r="AV2" s="2280"/>
      <c r="AW2">
        <f>SUMIFS(Table5[Qty.],Table5[Population Type],AW1,Table5[Homeless at Entry?],"Yes")</f>
        <v>0</v>
      </c>
      <c r="AX2" s="1970">
        <f>SUMIFS(Table5[Qty.],Table5[Population Type],AX1,Table5[Homeless at Entry?],"Yes")</f>
        <v>0</v>
      </c>
      <c r="AY2">
        <f>SUMIFS(Table5[Qty.],Table5[Population Type],AY1,Table5[Homeless at Entry?],"Yes")</f>
        <v>0</v>
      </c>
      <c r="AZ2">
        <f>SUMIFS(Table5[Qty.],Table5[Population Type],AZ1,Table5[Homeless at Entry?],"Yes")</f>
        <v>0</v>
      </c>
      <c r="BA2">
        <f>SUMIFS(Table5[Qty.],Table5[Population Type],BA1,Table5[Homeless at Entry?],"Yes")</f>
        <v>0</v>
      </c>
      <c r="BB2">
        <f>SUMIFS(Table5[Qty.],Table5[Population Type],BB1,Table5[Homeless at Entry?],"Yes")</f>
        <v>0</v>
      </c>
      <c r="BC2">
        <f>SUMIFS(Table5[Qty.],Table5[Population Type],BC1,Table5[Homeless at Entry?],"Yes")</f>
        <v>0</v>
      </c>
      <c r="BD2">
        <f>SUMIFS(Table5[Qty.],Table5[Population Type],BD1,Table5[Homeless at Entry?],"Yes")</f>
        <v>0</v>
      </c>
      <c r="BE2">
        <f>SUMIFS(Table5[Qty.],Table5[Population Type],BE1,Table5[Homeless at Entry?],"Yes")</f>
        <v>0</v>
      </c>
      <c r="BF2">
        <f>SUMIFS(Table5[Qty.],Table5[Population Type],BF1,Table5[Homeless at Entry?],"Yes")</f>
        <v>0</v>
      </c>
      <c r="BG2">
        <f>SUMIFS(Table5[Qty.],Table5[Population Type],BG1,Table5[Homeless at Entry?],"Yes")</f>
        <v>0</v>
      </c>
      <c r="BH2">
        <f>SUMIFS(Table5[Qty.],Table5[Population Type],BH1,Table5[Homeless at Entry?],"Yes")</f>
        <v>0</v>
      </c>
      <c r="BI2">
        <f>SUMIFS(Table5[Qty.],Table5[Population Type],BI1,Table5[Homeless at Entry?],"Yes")</f>
        <v>0</v>
      </c>
      <c r="BJ2">
        <f>SUMIFS(Table5[Qty.],Table5[Population Type],BJ1,Table5[Homeless at Entry?],"Yes")</f>
        <v>0</v>
      </c>
      <c r="BK2">
        <f>SUMIFS(Table5[Qty.],Table5[Population Type],BK1,Table5[Homeless at Entry?],"Yes")</f>
        <v>0</v>
      </c>
      <c r="BL2" s="1970">
        <f>SUMIFS(Table5[Qty.],Table5[Population Type],BL1,Table5[Homeless at Entry?],"Yes")</f>
        <v>0</v>
      </c>
      <c r="BM2" s="1970">
        <f>SUMIFS(Table5[Qty.],Table5[Population Type],BM1,Table5[Homeless at Entry?],"Yes")</f>
        <v>0</v>
      </c>
      <c r="BN2" s="1970">
        <f>SUMIFS(Table5[Qty.],Table5[Population Type],BN1,Table5[Homeless at Entry?],"Yes")</f>
        <v>0</v>
      </c>
      <c r="BO2">
        <f>SUMIFS(Table5[Qty.],Table5[Population Type],BO1,Table5[Homeless at Entry?],"Yes")</f>
        <v>0</v>
      </c>
      <c r="BP2" s="2278"/>
      <c r="BQ2" s="2279"/>
      <c r="BR2" s="2281">
        <f>INDEX('5'!E:E,MATCH("Begin Construction",'5'!D:D,0))</f>
        <v>0</v>
      </c>
      <c r="BS2" s="2281">
        <f>INDEX('5'!E:E,MATCH("Issued certificate of occupancy",'5'!D:D,0))</f>
        <v>0</v>
      </c>
      <c r="BT2" s="2279"/>
      <c r="BU2" s="2278"/>
      <c r="BV2" s="2271">
        <f>'6A'!J22</f>
        <v>0</v>
      </c>
      <c r="BW2" s="2271">
        <f>'6A'!K22</f>
        <v>0</v>
      </c>
      <c r="BX2" s="2271">
        <f>'6A'!J90</f>
        <v>0</v>
      </c>
      <c r="BY2" s="2271">
        <f>'6A'!K90</f>
        <v>0</v>
      </c>
      <c r="BZ2" s="2271">
        <f>'6A'!J91</f>
        <v>0</v>
      </c>
      <c r="CA2" s="2271">
        <f>'6A'!K91</f>
        <v>0</v>
      </c>
      <c r="CB2" s="2271">
        <f>'6A'!J120</f>
        <v>0</v>
      </c>
      <c r="CC2" s="2271">
        <f>'6A'!K120</f>
        <v>0</v>
      </c>
      <c r="CD2" s="2278"/>
      <c r="CE2" s="2279"/>
      <c r="CF2" s="1970" t="str">
        <f>CONCATENATE((IFERROR(IF((INDEX('7A'!E27:E33,MATCH(Dropdowns!B166,'7A'!D27:D33,0)))+(INDEX('7A'!F27:F33,MATCH(Dropdowns!B166,'7A'!D27:D33,0)))&lt;&gt;0,"4%",""),"")),",",(IFERROR(IF((INDEX('7A'!E27:E33,MATCH(Dropdowns!B165,'7A'!D27:D33,0)))+(INDEX('7A'!F27:F33,MATCH(Dropdowns!B165,'7A'!D27:D33,0)))&lt;&gt;0,"9%",""),"")))</f>
        <v>,</v>
      </c>
      <c r="CG2">
        <f>'6D'!G40</f>
        <v>0</v>
      </c>
      <c r="CH2" s="2279"/>
      <c r="CI2" s="2278"/>
      <c r="CJ2">
        <f>IFERROR((INDEX('7A'!E27:E33,MATCH(Dropdowns!B163,'7A'!D27:D33,0))),0)</f>
        <v>0</v>
      </c>
      <c r="CK2">
        <f>(SUMIF('7A'!D27:D33,"Tax Credits*",'7A'!E27:E33))+((SUMIF('7A'!D27:D33,"Tax Credits*",'7A'!F27:F33)))</f>
        <v>0</v>
      </c>
      <c r="CL2" s="2278"/>
      <c r="CM2" s="2279"/>
      <c r="CN2">
        <f>'8A'!D45</f>
        <v>0</v>
      </c>
      <c r="CO2">
        <f>'8A'!E45</f>
        <v>0</v>
      </c>
      <c r="CP2">
        <f>'8A'!F45</f>
        <v>0</v>
      </c>
      <c r="CQ2" s="1970">
        <f>'8A'!G45</f>
        <v>0</v>
      </c>
      <c r="CR2" s="1970">
        <f>'8A'!H45</f>
        <v>0</v>
      </c>
      <c r="CS2" s="1970">
        <f>'8A'!I45</f>
        <v>0</v>
      </c>
      <c r="CT2" s="1970">
        <f>'8A'!J45</f>
        <v>0</v>
      </c>
      <c r="CU2" s="1970">
        <f>'8A'!K45</f>
        <v>0</v>
      </c>
      <c r="CV2" s="1970">
        <f>'8A'!L35</f>
        <v>0</v>
      </c>
      <c r="CW2" s="1970">
        <f>'8A'!L36</f>
        <v>0</v>
      </c>
      <c r="CX2" s="1970">
        <f>'8A'!L37</f>
        <v>0</v>
      </c>
      <c r="CY2" s="1970">
        <f>'8A'!L38</f>
        <v>0</v>
      </c>
      <c r="CZ2" s="1970">
        <f>'8A'!L39</f>
        <v>0</v>
      </c>
      <c r="DA2" s="1970">
        <f>'8A'!L40</f>
        <v>0</v>
      </c>
      <c r="DB2" s="1970">
        <f>'8A'!L41</f>
        <v>0</v>
      </c>
      <c r="DC2" s="1970">
        <f>'8A'!L42</f>
        <v>0</v>
      </c>
      <c r="DD2" s="1970">
        <f>'8A'!L43</f>
        <v>0</v>
      </c>
      <c r="DE2" s="1970">
        <f>'8A'!L44</f>
        <v>0</v>
      </c>
      <c r="DF2" s="2279"/>
      <c r="DG2" s="2278"/>
      <c r="DH2" s="2271">
        <f>'8B'!D21</f>
        <v>0</v>
      </c>
      <c r="DI2" s="2271">
        <f>'8B'!E21</f>
        <v>0</v>
      </c>
      <c r="DJ2" s="2271">
        <f>'8B'!D30</f>
        <v>0</v>
      </c>
      <c r="DK2" s="2271">
        <f>'8B'!E30</f>
        <v>0</v>
      </c>
      <c r="DL2" s="2271">
        <f>'8B'!D39</f>
        <v>0</v>
      </c>
      <c r="DM2" s="2271">
        <f>'8B'!E39</f>
        <v>0</v>
      </c>
      <c r="DN2" s="2278"/>
      <c r="DO2" s="2279"/>
      <c r="DP2" s="2277">
        <f>'8D'!H42</f>
        <v>0</v>
      </c>
      <c r="DQ2" s="2277">
        <f>'8D'!L42</f>
        <v>0</v>
      </c>
      <c r="DR2" s="2277">
        <f>'8D'!V42</f>
        <v>0</v>
      </c>
      <c r="DS2" s="2279"/>
      <c r="DT2" s="2278"/>
      <c r="DU2">
        <f>'9A'!D16</f>
        <v>0</v>
      </c>
      <c r="DV2" t="str">
        <f>'9A'!D19</f>
        <v>Enter Email on Form 1A</v>
      </c>
      <c r="DW2" t="str">
        <f>'9A'!D28</f>
        <v>Enter Email on Form 1A</v>
      </c>
      <c r="DX2" s="2278"/>
      <c r="DY2" s="2279"/>
      <c r="DZ2">
        <f>'11A'!N273</f>
        <v>0</v>
      </c>
      <c r="EA2" s="2279"/>
      <c r="EB2" s="2278"/>
      <c r="EC2">
        <f>'11B'!N256</f>
        <v>0</v>
      </c>
      <c r="ED2" s="2278"/>
    </row>
    <row r="7" spans="1:134" x14ac:dyDescent="0.25">
      <c r="AD7" s="1970"/>
      <c r="AE7" s="1970"/>
      <c r="AF7" s="1970"/>
      <c r="AG7" s="1970"/>
      <c r="AH7" s="1970"/>
      <c r="AI7" s="1970"/>
      <c r="AJ7" s="1970"/>
      <c r="AK7" s="1970"/>
      <c r="AL7" s="1970"/>
      <c r="AM7" s="1970"/>
      <c r="AN7" s="1970"/>
      <c r="AO7" s="1970"/>
      <c r="AP7" s="1970"/>
      <c r="BA7" s="1970"/>
    </row>
    <row r="10" spans="1:134" x14ac:dyDescent="0.25">
      <c r="T10" s="197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
  <sheetViews>
    <sheetView showGridLines="0" tabSelected="1" zoomScaleNormal="100" workbookViewId="0">
      <selection activeCell="N25" sqref="N25"/>
    </sheetView>
  </sheetViews>
  <sheetFormatPr defaultRowHeight="15" x14ac:dyDescent="0.25"/>
  <sheetData/>
  <sheetProtection algorithmName="SHA-512" hashValue="MlgdUPASvpk46X+HAbjUGqhWKCP0Ha1J5Rd6vnRAUqxWHRCH9K+psiuwNeRO/E18pclPka1L8dWA9+tRVZsTtA==" saltValue="s/XETVR0zpz+s1qUVyCqjw==" spinCount="100000" sheet="1" objects="1" scenarios="1"/>
  <pageMargins left="0.25" right="0.25" top="0.75" bottom="0.75" header="0.3" footer="0.3"/>
  <pageSetup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7:L26"/>
  <sheetViews>
    <sheetView showGridLines="0" zoomScaleNormal="100" workbookViewId="0">
      <selection activeCell="G10" sqref="G10"/>
    </sheetView>
  </sheetViews>
  <sheetFormatPr defaultColWidth="9.140625" defaultRowHeight="15" x14ac:dyDescent="0.25"/>
  <cols>
    <col min="1" max="2" width="1.7109375" style="395" customWidth="1"/>
    <col min="3" max="3" width="6" style="1642" bestFit="1" customWidth="1"/>
    <col min="4" max="4" width="29" style="1643" bestFit="1" customWidth="1"/>
    <col min="5" max="5" width="21.7109375" style="395" bestFit="1" customWidth="1"/>
    <col min="6" max="6" width="21.7109375" style="395" customWidth="1"/>
    <col min="7" max="7" width="9.7109375" style="395" bestFit="1" customWidth="1"/>
    <col min="8" max="8" width="26.28515625" style="395" customWidth="1"/>
    <col min="9" max="16384" width="9.140625" style="395"/>
  </cols>
  <sheetData>
    <row r="7" spans="2:12" ht="21.75" thickBot="1" x14ac:dyDescent="0.4">
      <c r="B7" s="1644" t="s">
        <v>665</v>
      </c>
    </row>
    <row r="8" spans="2:12" x14ac:dyDescent="0.25">
      <c r="B8" s="1651"/>
      <c r="C8" s="1652"/>
      <c r="D8" s="1653"/>
      <c r="E8" s="1558"/>
      <c r="F8" s="1558"/>
      <c r="G8" s="1558"/>
      <c r="H8" s="1558"/>
      <c r="I8" s="1559"/>
      <c r="J8" s="1092"/>
      <c r="K8" s="1092"/>
      <c r="L8" s="1092"/>
    </row>
    <row r="9" spans="2:12" ht="30.75" thickBot="1" x14ac:dyDescent="0.3">
      <c r="B9" s="1511"/>
      <c r="C9" s="1095" t="s">
        <v>653</v>
      </c>
      <c r="D9" s="1654" t="s">
        <v>654</v>
      </c>
      <c r="E9" s="1095"/>
      <c r="F9" s="1095"/>
      <c r="G9" s="1655" t="s">
        <v>673</v>
      </c>
      <c r="H9" s="1612" t="s">
        <v>674</v>
      </c>
      <c r="I9" s="1560"/>
      <c r="J9" s="1092"/>
      <c r="K9" s="1092"/>
      <c r="L9" s="1092"/>
    </row>
    <row r="10" spans="2:12" s="1645" customFormat="1" x14ac:dyDescent="0.25">
      <c r="B10" s="1656"/>
      <c r="C10" s="1657">
        <v>3</v>
      </c>
      <c r="D10" s="2287" t="s">
        <v>660</v>
      </c>
      <c r="E10" s="2287"/>
      <c r="F10" s="2287"/>
      <c r="G10" s="1658" t="str">
        <f>IF((COUNTA(Table5[Population Type]))&lt;1,"Concern","OK")</f>
        <v>OK</v>
      </c>
      <c r="H10" s="1646"/>
      <c r="I10" s="1659"/>
      <c r="J10" s="1647"/>
      <c r="K10" s="1647"/>
      <c r="L10" s="1647"/>
    </row>
    <row r="11" spans="2:12" s="1645" customFormat="1" x14ac:dyDescent="0.25">
      <c r="B11" s="1656"/>
      <c r="C11" s="1660"/>
      <c r="D11" s="2288" t="s">
        <v>661</v>
      </c>
      <c r="E11" s="2288"/>
      <c r="F11" s="2288"/>
      <c r="G11" s="1661" t="str">
        <f>IF((COUNTA(Table5[Homeless at Entry?]))&lt;&gt;(COUNTA(Table5[Population Type])),"Concern","OK")</f>
        <v>OK</v>
      </c>
      <c r="H11" s="1648"/>
      <c r="I11" s="1659"/>
      <c r="J11" s="1647"/>
      <c r="K11" s="1647"/>
      <c r="L11" s="1647"/>
    </row>
    <row r="12" spans="2:12" s="1645" customFormat="1" x14ac:dyDescent="0.25">
      <c r="B12" s="1656"/>
      <c r="C12" s="1660"/>
      <c r="D12" s="2288" t="s">
        <v>662</v>
      </c>
      <c r="E12" s="2288"/>
      <c r="F12" s="2288"/>
      <c r="G12" s="1661" t="str">
        <f>IF((COUNTA(Table5[Residency Type]))&lt;&gt;(COUNTA(Table5[Population Type])),"Concern","OK")</f>
        <v>OK</v>
      </c>
      <c r="H12" s="1648"/>
      <c r="I12" s="1659"/>
      <c r="J12" s="1647"/>
      <c r="K12" s="1647"/>
      <c r="L12" s="1647"/>
    </row>
    <row r="13" spans="2:12" s="1645" customFormat="1" x14ac:dyDescent="0.25">
      <c r="B13" s="1656"/>
      <c r="C13" s="1660"/>
      <c r="D13" s="2288" t="s">
        <v>663</v>
      </c>
      <c r="E13" s="2288"/>
      <c r="F13" s="2288"/>
      <c r="G13" s="1661" t="str">
        <f>IF((COUNTA(Table5[Unit 
or Bed]))&lt;1,"Concern","OK")</f>
        <v>OK</v>
      </c>
      <c r="H13" s="1648"/>
      <c r="I13" s="1659"/>
      <c r="J13" s="1647"/>
      <c r="K13" s="1647"/>
      <c r="L13" s="1647"/>
    </row>
    <row r="14" spans="2:12" s="1645" customFormat="1" ht="15.75" thickBot="1" x14ac:dyDescent="0.3">
      <c r="B14" s="1656"/>
      <c r="C14" s="1662"/>
      <c r="D14" s="2291" t="s">
        <v>664</v>
      </c>
      <c r="E14" s="2291"/>
      <c r="F14" s="2291"/>
      <c r="G14" s="1663" t="str">
        <f>IF((COUNTA(Table5[Unit 
or Bed]))&lt;1,"Concern","OK")</f>
        <v>OK</v>
      </c>
      <c r="H14" s="1649"/>
      <c r="I14" s="1659"/>
      <c r="J14" s="1647"/>
      <c r="K14" s="1647"/>
      <c r="L14" s="1647"/>
    </row>
    <row r="15" spans="2:12" s="1645" customFormat="1" ht="15.75" thickBot="1" x14ac:dyDescent="0.3">
      <c r="B15" s="1656"/>
      <c r="C15" s="1660"/>
      <c r="D15" s="2292"/>
      <c r="E15" s="2292"/>
      <c r="F15" s="2292"/>
      <c r="G15" s="1664"/>
      <c r="H15" s="1664"/>
      <c r="I15" s="1659"/>
      <c r="J15" s="1647"/>
      <c r="K15" s="1647"/>
      <c r="L15" s="1647"/>
    </row>
    <row r="16" spans="2:12" x14ac:dyDescent="0.25">
      <c r="B16" s="1511"/>
      <c r="C16" s="1657">
        <v>5</v>
      </c>
      <c r="D16" s="2287" t="s">
        <v>659</v>
      </c>
      <c r="E16" s="2287"/>
      <c r="F16" s="2287"/>
      <c r="G16" s="1658" t="str">
        <f>IF((IFERROR(MATCH("Begin Construction",'5'!D17:D77,0),0))&lt;&gt;0,"OK","Concern")</f>
        <v>OK</v>
      </c>
      <c r="H16" s="1646"/>
      <c r="I16" s="1560"/>
      <c r="J16" s="1092"/>
      <c r="K16" s="1092"/>
      <c r="L16" s="1092"/>
    </row>
    <row r="17" spans="2:12" ht="15.75" thickBot="1" x14ac:dyDescent="0.3">
      <c r="B17" s="1511"/>
      <c r="C17" s="1662"/>
      <c r="D17" s="2291" t="s">
        <v>1128</v>
      </c>
      <c r="E17" s="2291"/>
      <c r="F17" s="2291"/>
      <c r="G17" s="1663" t="str">
        <f>IF('5 Default Check'!E65&gt;=54,"OK","Concern")</f>
        <v>OK</v>
      </c>
      <c r="H17" s="1649"/>
      <c r="I17" s="1560"/>
      <c r="J17" s="1092"/>
      <c r="K17" s="1092"/>
      <c r="L17" s="1092"/>
    </row>
    <row r="18" spans="2:12" ht="15.75" thickBot="1" x14ac:dyDescent="0.3">
      <c r="B18" s="1511"/>
      <c r="C18" s="1660"/>
      <c r="D18" s="2292"/>
      <c r="E18" s="2292"/>
      <c r="F18" s="2292"/>
      <c r="G18" s="1665"/>
      <c r="H18" s="1665"/>
      <c r="I18" s="1560"/>
      <c r="J18" s="1092"/>
      <c r="K18" s="1092"/>
      <c r="L18" s="1092"/>
    </row>
    <row r="19" spans="2:12" ht="15.75" thickBot="1" x14ac:dyDescent="0.3">
      <c r="B19" s="1511"/>
      <c r="C19" s="1666" t="s">
        <v>655</v>
      </c>
      <c r="D19" s="2292" t="s">
        <v>1804</v>
      </c>
      <c r="E19" s="2292"/>
      <c r="F19" s="2292"/>
      <c r="G19" s="1667" t="str">
        <f>IF('6A'!J120&lt;&gt;'6A'!J121,"Concern","OK")</f>
        <v>OK</v>
      </c>
      <c r="H19" s="1650"/>
      <c r="I19" s="1560"/>
      <c r="J19" s="1092"/>
      <c r="K19" s="1092"/>
      <c r="L19" s="1092"/>
    </row>
    <row r="20" spans="2:12" ht="15.75" thickBot="1" x14ac:dyDescent="0.3">
      <c r="B20" s="1511"/>
      <c r="C20" s="1660"/>
      <c r="D20" s="2290"/>
      <c r="E20" s="2290"/>
      <c r="F20" s="2290"/>
      <c r="G20" s="1665"/>
      <c r="H20" s="1665"/>
      <c r="I20" s="1560"/>
      <c r="J20" s="1092"/>
      <c r="K20" s="1092"/>
      <c r="L20" s="1092"/>
    </row>
    <row r="21" spans="2:12" x14ac:dyDescent="0.25">
      <c r="B21" s="1511"/>
      <c r="C21" s="1657" t="s">
        <v>656</v>
      </c>
      <c r="D21" s="2290" t="s">
        <v>657</v>
      </c>
      <c r="E21" s="2290"/>
      <c r="F21" s="2290"/>
      <c r="G21" s="1668" t="str">
        <f>IF((COUNTA(#REF!,#REF!))&gt;(COUNTA(#REF!,#REF!)),"Concern","OK")</f>
        <v>OK</v>
      </c>
      <c r="H21" s="1646"/>
      <c r="I21" s="1560"/>
      <c r="J21" s="1092"/>
      <c r="K21" s="1092"/>
      <c r="L21" s="1092"/>
    </row>
    <row r="22" spans="2:12" x14ac:dyDescent="0.25">
      <c r="B22" s="1511"/>
      <c r="C22" s="1660"/>
      <c r="D22" s="2288" t="s">
        <v>667</v>
      </c>
      <c r="E22" s="2288"/>
      <c r="F22" s="2288"/>
      <c r="G22" s="1661" t="str">
        <f>IF((COUNTA(#REF!,#REF!))&gt;(COUNTA(#REF!,#REF!)),"Concern","OK")</f>
        <v>OK</v>
      </c>
      <c r="H22" s="1648"/>
      <c r="I22" s="1560"/>
      <c r="J22" s="1092"/>
      <c r="K22" s="1092"/>
      <c r="L22" s="1092"/>
    </row>
    <row r="23" spans="2:12" x14ac:dyDescent="0.25">
      <c r="B23" s="1511"/>
      <c r="C23" s="1660"/>
      <c r="D23" s="1694" t="s">
        <v>1434</v>
      </c>
      <c r="E23" s="1694"/>
      <c r="F23" s="1694"/>
      <c r="G23" s="1661" t="str">
        <f>IF(((COUNTIF('7A'!J27:J33,"Loan"))+(COUNTIF('7A'!J41:J43,"Loan")))&gt;(COUNTA('7A'!M27:M33)+COUNTA('7A'!M41:M43)),"Concern","OK")</f>
        <v>OK</v>
      </c>
      <c r="H23" s="1648"/>
      <c r="I23" s="1560"/>
      <c r="J23" s="1092"/>
      <c r="K23" s="1092"/>
      <c r="L23" s="1092"/>
    </row>
    <row r="24" spans="2:12" x14ac:dyDescent="0.25">
      <c r="B24" s="1511"/>
      <c r="C24" s="1669"/>
      <c r="D24" s="2288" t="s">
        <v>658</v>
      </c>
      <c r="E24" s="2288"/>
      <c r="F24" s="2288"/>
      <c r="G24" s="1661" t="str">
        <f>IF((COUNTA(#REF!,#REF!))&gt;(COUNTA(#REF!,#REF!)),"Concern","OK")</f>
        <v>OK</v>
      </c>
      <c r="H24" s="1648"/>
      <c r="I24" s="1560"/>
      <c r="J24" s="1092"/>
      <c r="K24" s="1092"/>
      <c r="L24" s="1092"/>
    </row>
    <row r="25" spans="2:12" ht="15.75" thickBot="1" x14ac:dyDescent="0.3">
      <c r="B25" s="1511"/>
      <c r="C25" s="1670"/>
      <c r="D25" s="2289" t="s">
        <v>666</v>
      </c>
      <c r="E25" s="2289"/>
      <c r="F25" s="2289"/>
      <c r="G25" s="1663" t="str">
        <f>IF('6A'!K121&lt;&gt;'7A'!F48,"Concern","OK")</f>
        <v>OK</v>
      </c>
      <c r="H25" s="1649"/>
      <c r="I25" s="1560"/>
      <c r="J25" s="1092"/>
      <c r="K25" s="1092"/>
      <c r="L25" s="1092"/>
    </row>
    <row r="26" spans="2:12" ht="15.75" thickBot="1" x14ac:dyDescent="0.3">
      <c r="B26" s="1515"/>
      <c r="C26" s="1671"/>
      <c r="D26" s="1672"/>
      <c r="E26" s="1567"/>
      <c r="F26" s="1567"/>
      <c r="G26" s="1567"/>
      <c r="H26" s="1567"/>
      <c r="I26" s="1516"/>
      <c r="J26" s="1092"/>
      <c r="K26" s="1092"/>
      <c r="L26" s="1092"/>
    </row>
  </sheetData>
  <sheetProtection algorithmName="SHA-512" hashValue="DbAEewrTfspxxFu2lHrCSKVn119ipKGptU9XcsERJ68PswKAqNM2MKHZnL5k8PEbXCT/rRWRtzsGpmINsclBZw==" saltValue="k2LCaJleuHFJ4ODlFwN1lw==" spinCount="100000" sheet="1" objects="1" scenarios="1"/>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83" priority="17" operator="equal">
      <formula>"OK"</formula>
    </cfRule>
    <cfRule type="cellIs" dxfId="182" priority="18" operator="equal">
      <formula>"FAIL"</formula>
    </cfRule>
  </conditionalFormatting>
  <conditionalFormatting sqref="H24">
    <cfRule type="cellIs" dxfId="181" priority="15" operator="equal">
      <formula>"OK"</formula>
    </cfRule>
    <cfRule type="cellIs" dxfId="180" priority="16" operator="equal">
      <formula>"FAIL"</formula>
    </cfRule>
  </conditionalFormatting>
  <conditionalFormatting sqref="H25">
    <cfRule type="cellIs" dxfId="179" priority="13" operator="equal">
      <formula>"OK"</formula>
    </cfRule>
    <cfRule type="cellIs" dxfId="178" priority="14" operator="equal">
      <formula>"FAIL"</formula>
    </cfRule>
  </conditionalFormatting>
  <conditionalFormatting sqref="H21">
    <cfRule type="cellIs" dxfId="177" priority="11" operator="equal">
      <formula>"OK"</formula>
    </cfRule>
    <cfRule type="cellIs" dxfId="176" priority="12" operator="equal">
      <formula>"FAIL"</formula>
    </cfRule>
  </conditionalFormatting>
  <conditionalFormatting sqref="H19">
    <cfRule type="cellIs" dxfId="175" priority="9" operator="equal">
      <formula>"OK"</formula>
    </cfRule>
    <cfRule type="cellIs" dxfId="174" priority="10" operator="equal">
      <formula>"FAIL"</formula>
    </cfRule>
  </conditionalFormatting>
  <conditionalFormatting sqref="G10:G15 G18:G22 G24:G25">
    <cfRule type="containsText" dxfId="173" priority="7" operator="containsText" text="Concern">
      <formula>NOT(ISERROR(SEARCH("Concern",G10)))</formula>
    </cfRule>
    <cfRule type="containsText" dxfId="172" priority="8" operator="containsText" text="OK">
      <formula>NOT(ISERROR(SEARCH("OK",G10)))</formula>
    </cfRule>
  </conditionalFormatting>
  <conditionalFormatting sqref="G17">
    <cfRule type="containsText" dxfId="171" priority="5" operator="containsText" text="Concern">
      <formula>NOT(ISERROR(SEARCH("Concern",G17)))</formula>
    </cfRule>
    <cfRule type="containsText" dxfId="170" priority="6" operator="containsText" text="OK">
      <formula>NOT(ISERROR(SEARCH("OK",G17)))</formula>
    </cfRule>
  </conditionalFormatting>
  <conditionalFormatting sqref="G16">
    <cfRule type="containsText" dxfId="169" priority="3" operator="containsText" text="Concern">
      <formula>NOT(ISERROR(SEARCH("Concern",G16)))</formula>
    </cfRule>
    <cfRule type="containsText" dxfId="168" priority="4" operator="containsText" text="OK">
      <formula>NOT(ISERROR(SEARCH("OK",G16)))</formula>
    </cfRule>
  </conditionalFormatting>
  <conditionalFormatting sqref="G23">
    <cfRule type="containsText" dxfId="167" priority="1" operator="containsText" text="Concern">
      <formula>NOT(ISERROR(SEARCH("Concern",G23)))</formula>
    </cfRule>
    <cfRule type="containsText" dxfId="166" priority="2" operator="containsText" text="OK">
      <formula>NOT(ISERROR(SEARCH("OK",G23)))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60"/>
  <sheetViews>
    <sheetView showGridLines="0" zoomScaleNormal="100" workbookViewId="0">
      <selection activeCell="M42" sqref="M42"/>
    </sheetView>
  </sheetViews>
  <sheetFormatPr defaultColWidth="9.140625" defaultRowHeight="15" x14ac:dyDescent="0.25"/>
  <cols>
    <col min="1" max="1" width="2.85546875" style="395" customWidth="1"/>
    <col min="2" max="3" width="1.42578125" style="395" customWidth="1"/>
    <col min="4" max="4" width="11" style="395" customWidth="1"/>
    <col min="5" max="5" width="9.140625" style="395"/>
    <col min="6" max="6" width="4" style="395" customWidth="1"/>
    <col min="7" max="9" width="9.140625" style="395"/>
    <col min="10" max="10" width="4" style="395" customWidth="1"/>
    <col min="11" max="12" width="9.140625" style="395"/>
    <col min="13" max="13" width="4" style="395" bestFit="1" customWidth="1"/>
    <col min="14" max="14" width="6" style="395" customWidth="1"/>
    <col min="15" max="15" width="9.140625" style="395"/>
    <col min="16" max="17" width="1.42578125" style="395" customWidth="1"/>
    <col min="18" max="16384" width="9.140625" style="395"/>
  </cols>
  <sheetData>
    <row r="1" spans="2:17" ht="15.75" thickBot="1" x14ac:dyDescent="0.3"/>
    <row r="2" spans="2:17" ht="7.5" customHeight="1" x14ac:dyDescent="0.25">
      <c r="B2" s="362"/>
      <c r="C2" s="363"/>
      <c r="D2" s="363"/>
      <c r="E2" s="363"/>
      <c r="F2" s="363"/>
      <c r="G2" s="363"/>
      <c r="H2" s="363"/>
      <c r="I2" s="363"/>
      <c r="J2" s="363"/>
      <c r="K2" s="363"/>
      <c r="L2" s="363"/>
      <c r="M2" s="363"/>
      <c r="N2" s="363"/>
      <c r="O2" s="363"/>
      <c r="P2" s="363"/>
      <c r="Q2" s="397"/>
    </row>
    <row r="3" spans="2:17" ht="18.75" x14ac:dyDescent="0.3">
      <c r="B3" s="364"/>
      <c r="C3" s="2293" t="s">
        <v>1138</v>
      </c>
      <c r="D3" s="2293"/>
      <c r="E3" s="2293"/>
      <c r="F3" s="2293"/>
      <c r="G3" s="2293"/>
      <c r="H3" s="2293"/>
      <c r="I3" s="2293"/>
      <c r="J3" s="2293"/>
      <c r="K3" s="2293"/>
      <c r="L3" s="2293"/>
      <c r="M3" s="2293"/>
      <c r="N3" s="2293"/>
      <c r="O3" s="2293"/>
      <c r="P3" s="2293"/>
      <c r="Q3" s="398"/>
    </row>
    <row r="4" spans="2:17" x14ac:dyDescent="0.25">
      <c r="B4" s="364"/>
      <c r="C4" s="130"/>
      <c r="D4" s="130"/>
      <c r="E4" s="130"/>
      <c r="F4" s="130"/>
      <c r="G4" s="130"/>
      <c r="H4" s="130"/>
      <c r="I4" s="130"/>
      <c r="J4" s="130"/>
      <c r="K4" s="130"/>
      <c r="L4" s="130"/>
      <c r="M4" s="130"/>
      <c r="N4" s="130"/>
      <c r="O4" s="130"/>
      <c r="P4" s="130"/>
      <c r="Q4" s="398"/>
    </row>
    <row r="5" spans="2:17" ht="18.75" x14ac:dyDescent="0.3">
      <c r="B5" s="364"/>
      <c r="C5" s="161" t="s">
        <v>0</v>
      </c>
      <c r="D5" s="17"/>
      <c r="E5" s="422"/>
      <c r="F5" s="422"/>
      <c r="G5" s="2311"/>
      <c r="H5" s="2311"/>
      <c r="I5" s="2311"/>
      <c r="J5" s="2311"/>
      <c r="K5" s="2311"/>
      <c r="L5" s="2311"/>
      <c r="M5" s="2311"/>
      <c r="N5" s="2311"/>
      <c r="O5" s="2311"/>
      <c r="P5" s="130"/>
      <c r="Q5" s="398"/>
    </row>
    <row r="6" spans="2:17" ht="3.75" customHeight="1" x14ac:dyDescent="0.25">
      <c r="B6" s="364"/>
      <c r="C6" s="133"/>
      <c r="D6" s="422"/>
      <c r="E6" s="422"/>
      <c r="F6" s="422"/>
      <c r="G6" s="365"/>
      <c r="H6" s="365"/>
      <c r="I6" s="365"/>
      <c r="J6" s="365"/>
      <c r="K6" s="365"/>
      <c r="L6" s="365"/>
      <c r="M6" s="365"/>
      <c r="N6" s="365"/>
      <c r="O6" s="365"/>
      <c r="P6" s="130"/>
      <c r="Q6" s="398"/>
    </row>
    <row r="7" spans="2:17" x14ac:dyDescent="0.25">
      <c r="B7" s="364"/>
      <c r="C7" s="366" t="s">
        <v>1</v>
      </c>
      <c r="D7" s="422"/>
      <c r="E7" s="422"/>
      <c r="F7" s="422"/>
      <c r="G7" s="365"/>
      <c r="H7" s="365"/>
      <c r="I7" s="365"/>
      <c r="J7" s="365"/>
      <c r="K7" s="365"/>
      <c r="L7" s="365"/>
      <c r="M7" s="365"/>
      <c r="N7" s="365"/>
      <c r="O7" s="365"/>
      <c r="P7" s="130"/>
      <c r="Q7" s="398"/>
    </row>
    <row r="8" spans="2:17" x14ac:dyDescent="0.25">
      <c r="B8" s="364"/>
      <c r="C8" s="367" t="s">
        <v>2</v>
      </c>
      <c r="D8" s="422"/>
      <c r="E8" s="422"/>
      <c r="F8" s="422"/>
      <c r="G8" s="2312"/>
      <c r="H8" s="2312"/>
      <c r="I8" s="2312"/>
      <c r="J8" s="2312"/>
      <c r="K8" s="2312"/>
      <c r="L8" s="2312"/>
      <c r="M8" s="2312"/>
      <c r="N8" s="2312"/>
      <c r="O8" s="2312"/>
      <c r="P8" s="130"/>
      <c r="Q8" s="398"/>
    </row>
    <row r="9" spans="2:17" ht="3.75" customHeight="1" x14ac:dyDescent="0.25">
      <c r="B9" s="364"/>
      <c r="C9" s="367"/>
      <c r="D9" s="422"/>
      <c r="E9" s="422"/>
      <c r="F9" s="422"/>
      <c r="G9" s="365"/>
      <c r="H9" s="365"/>
      <c r="I9" s="365"/>
      <c r="J9" s="365"/>
      <c r="K9" s="365"/>
      <c r="L9" s="365"/>
      <c r="M9" s="365"/>
      <c r="N9" s="365"/>
      <c r="O9" s="365"/>
      <c r="P9" s="130"/>
      <c r="Q9" s="398"/>
    </row>
    <row r="10" spans="2:17" x14ac:dyDescent="0.25">
      <c r="B10" s="364"/>
      <c r="C10" s="367" t="s">
        <v>3</v>
      </c>
      <c r="D10" s="422"/>
      <c r="E10" s="422"/>
      <c r="F10" s="422"/>
      <c r="G10" s="2307"/>
      <c r="H10" s="2307"/>
      <c r="I10" s="2307"/>
      <c r="J10" s="2307"/>
      <c r="K10" s="2307"/>
      <c r="L10" s="2307"/>
      <c r="M10" s="2307"/>
      <c r="N10" s="2307"/>
      <c r="O10" s="2307"/>
      <c r="P10" s="130"/>
      <c r="Q10" s="398"/>
    </row>
    <row r="11" spans="2:17" ht="3.75" customHeight="1" x14ac:dyDescent="0.25">
      <c r="B11" s="364"/>
      <c r="C11" s="368"/>
      <c r="D11" s="422"/>
      <c r="E11" s="422"/>
      <c r="F11" s="422"/>
      <c r="G11" s="365"/>
      <c r="H11" s="365"/>
      <c r="I11" s="365"/>
      <c r="J11" s="365"/>
      <c r="K11" s="365"/>
      <c r="L11" s="365"/>
      <c r="M11" s="365"/>
      <c r="N11" s="365"/>
      <c r="O11" s="365"/>
      <c r="P11" s="130"/>
      <c r="Q11" s="398"/>
    </row>
    <row r="12" spans="2:17" x14ac:dyDescent="0.25">
      <c r="B12" s="364"/>
      <c r="C12" s="367" t="s">
        <v>4</v>
      </c>
      <c r="D12" s="422"/>
      <c r="E12" s="422"/>
      <c r="F12" s="422"/>
      <c r="G12" s="2307"/>
      <c r="H12" s="2307"/>
      <c r="I12" s="369" t="s">
        <v>5</v>
      </c>
      <c r="J12" s="2308"/>
      <c r="K12" s="2308"/>
      <c r="L12" s="2308"/>
      <c r="M12" s="2308"/>
      <c r="N12" s="2308"/>
      <c r="O12" s="2308"/>
      <c r="P12" s="130"/>
      <c r="Q12" s="398"/>
    </row>
    <row r="13" spans="2:17" ht="3.75" customHeight="1" x14ac:dyDescent="0.25">
      <c r="B13" s="364"/>
      <c r="C13" s="367"/>
      <c r="D13" s="422"/>
      <c r="E13" s="422"/>
      <c r="F13" s="422"/>
      <c r="G13" s="365"/>
      <c r="H13" s="365"/>
      <c r="I13" s="365"/>
      <c r="J13" s="365"/>
      <c r="K13" s="365"/>
      <c r="L13" s="365"/>
      <c r="M13" s="365"/>
      <c r="N13" s="365"/>
      <c r="O13" s="365"/>
      <c r="P13" s="130"/>
      <c r="Q13" s="398"/>
    </row>
    <row r="14" spans="2:17" x14ac:dyDescent="0.25">
      <c r="B14" s="364"/>
      <c r="C14" s="366" t="s">
        <v>6</v>
      </c>
      <c r="D14" s="422"/>
      <c r="E14" s="422"/>
      <c r="F14" s="422"/>
      <c r="G14" s="365"/>
      <c r="H14" s="365"/>
      <c r="I14" s="365"/>
      <c r="J14" s="365"/>
      <c r="K14" s="365"/>
      <c r="L14" s="365"/>
      <c r="M14" s="365"/>
      <c r="N14" s="365"/>
      <c r="O14" s="365"/>
      <c r="P14" s="130"/>
      <c r="Q14" s="398"/>
    </row>
    <row r="15" spans="2:17" x14ac:dyDescent="0.25">
      <c r="B15" s="364"/>
      <c r="C15" s="367" t="s">
        <v>7</v>
      </c>
      <c r="D15" s="422"/>
      <c r="E15" s="422"/>
      <c r="F15" s="422"/>
      <c r="G15" s="2312"/>
      <c r="H15" s="2312"/>
      <c r="I15" s="2312"/>
      <c r="J15" s="2312"/>
      <c r="K15" s="2312"/>
      <c r="L15" s="2312"/>
      <c r="M15" s="2312"/>
      <c r="N15" s="2312"/>
      <c r="O15" s="2312"/>
      <c r="P15" s="130"/>
      <c r="Q15" s="398"/>
    </row>
    <row r="16" spans="2:17" ht="3.75" customHeight="1" x14ac:dyDescent="0.25">
      <c r="B16" s="364"/>
      <c r="C16" s="367"/>
      <c r="D16" s="422"/>
      <c r="E16" s="422"/>
      <c r="F16" s="422"/>
      <c r="G16" s="371"/>
      <c r="H16" s="371"/>
      <c r="I16" s="365"/>
      <c r="J16" s="371"/>
      <c r="K16" s="365"/>
      <c r="L16" s="365"/>
      <c r="M16" s="365"/>
      <c r="N16" s="365"/>
      <c r="O16" s="365"/>
      <c r="P16" s="130"/>
      <c r="Q16" s="398"/>
    </row>
    <row r="17" spans="2:17" x14ac:dyDescent="0.25">
      <c r="B17" s="364"/>
      <c r="C17" s="367" t="s">
        <v>8</v>
      </c>
      <c r="D17" s="422"/>
      <c r="E17" s="422"/>
      <c r="F17" s="422"/>
      <c r="G17" s="2307"/>
      <c r="H17" s="2307"/>
      <c r="I17" s="2307"/>
      <c r="J17" s="2307"/>
      <c r="K17" s="2307"/>
      <c r="L17" s="2307"/>
      <c r="M17" s="2307"/>
      <c r="N17" s="2307"/>
      <c r="O17" s="2307"/>
      <c r="P17" s="130"/>
      <c r="Q17" s="398"/>
    </row>
    <row r="18" spans="2:17" ht="3.75" customHeight="1" x14ac:dyDescent="0.25">
      <c r="B18" s="364"/>
      <c r="C18" s="368"/>
      <c r="D18" s="422"/>
      <c r="E18" s="422"/>
      <c r="F18" s="422"/>
      <c r="G18" s="371"/>
      <c r="H18" s="371"/>
      <c r="I18" s="365"/>
      <c r="J18" s="371"/>
      <c r="K18" s="365"/>
      <c r="L18" s="365"/>
      <c r="M18" s="365"/>
      <c r="N18" s="365"/>
      <c r="O18" s="365"/>
      <c r="P18" s="130"/>
      <c r="Q18" s="398"/>
    </row>
    <row r="19" spans="2:17" x14ac:dyDescent="0.25">
      <c r="B19" s="364"/>
      <c r="C19" s="367" t="s">
        <v>4</v>
      </c>
      <c r="D19" s="422"/>
      <c r="E19" s="422"/>
      <c r="F19" s="422"/>
      <c r="G19" s="2307"/>
      <c r="H19" s="2307"/>
      <c r="I19" s="369" t="s">
        <v>5</v>
      </c>
      <c r="J19" s="2308"/>
      <c r="K19" s="2308"/>
      <c r="L19" s="2308"/>
      <c r="M19" s="2308"/>
      <c r="N19" s="2308"/>
      <c r="O19" s="2308"/>
      <c r="P19" s="130"/>
      <c r="Q19" s="398"/>
    </row>
    <row r="20" spans="2:17" ht="3.75" customHeight="1" x14ac:dyDescent="0.25">
      <c r="B20" s="364"/>
      <c r="C20" s="367"/>
      <c r="D20" s="422"/>
      <c r="E20" s="422"/>
      <c r="F20" s="422"/>
      <c r="G20" s="365"/>
      <c r="H20" s="365"/>
      <c r="I20" s="365"/>
      <c r="J20" s="365"/>
      <c r="K20" s="365"/>
      <c r="L20" s="365"/>
      <c r="M20" s="365"/>
      <c r="N20" s="365"/>
      <c r="O20" s="365"/>
      <c r="P20" s="130"/>
      <c r="Q20" s="398"/>
    </row>
    <row r="21" spans="2:17" x14ac:dyDescent="0.25">
      <c r="B21" s="364"/>
      <c r="C21" s="130"/>
      <c r="D21" s="422" t="s">
        <v>9</v>
      </c>
      <c r="E21" s="422"/>
      <c r="F21" s="422"/>
      <c r="G21" s="422"/>
      <c r="H21" s="422"/>
      <c r="I21" s="422"/>
      <c r="J21" s="422"/>
      <c r="K21" s="422"/>
      <c r="L21" s="393" t="s">
        <v>541</v>
      </c>
      <c r="M21" s="1869"/>
      <c r="N21" s="422"/>
      <c r="O21" s="422"/>
      <c r="P21" s="130"/>
      <c r="Q21" s="398"/>
    </row>
    <row r="22" spans="2:17" ht="7.5" customHeight="1" x14ac:dyDescent="0.25">
      <c r="B22" s="364"/>
      <c r="C22" s="130"/>
      <c r="D22" s="422"/>
      <c r="E22" s="422"/>
      <c r="F22" s="422"/>
      <c r="G22" s="422"/>
      <c r="H22" s="422"/>
      <c r="I22" s="422"/>
      <c r="J22" s="422"/>
      <c r="K22" s="422"/>
      <c r="L22" s="373"/>
      <c r="M22" s="422"/>
      <c r="N22" s="373"/>
      <c r="O22" s="422"/>
      <c r="P22" s="130"/>
      <c r="Q22" s="398"/>
    </row>
    <row r="23" spans="2:17" x14ac:dyDescent="0.25">
      <c r="B23" s="364"/>
      <c r="C23" s="161" t="s">
        <v>10</v>
      </c>
      <c r="D23" s="422"/>
      <c r="E23" s="422"/>
      <c r="F23" s="422"/>
      <c r="G23" s="2307"/>
      <c r="H23" s="2307"/>
      <c r="I23" s="2307"/>
      <c r="J23" s="2307"/>
      <c r="K23" s="2307"/>
      <c r="L23" s="2307"/>
      <c r="M23" s="2307"/>
      <c r="N23" s="2307"/>
      <c r="O23" s="2307"/>
      <c r="P23" s="130"/>
      <c r="Q23" s="398"/>
    </row>
    <row r="24" spans="2:17" x14ac:dyDescent="0.25">
      <c r="B24" s="364"/>
      <c r="C24" s="130"/>
      <c r="D24" s="422"/>
      <c r="E24" s="422"/>
      <c r="F24" s="422"/>
      <c r="G24" s="371"/>
      <c r="H24" s="371"/>
      <c r="I24" s="371"/>
      <c r="J24" s="371"/>
      <c r="K24" s="371"/>
      <c r="L24" s="371"/>
      <c r="M24" s="371"/>
      <c r="N24" s="371"/>
      <c r="O24" s="371"/>
      <c r="P24" s="130"/>
      <c r="Q24" s="398"/>
    </row>
    <row r="25" spans="2:17" ht="15.75" thickBot="1" x14ac:dyDescent="0.3">
      <c r="B25" s="364"/>
      <c r="C25" s="374" t="s">
        <v>11</v>
      </c>
      <c r="D25" s="375"/>
      <c r="E25" s="375"/>
      <c r="F25" s="375"/>
      <c r="G25" s="375"/>
      <c r="H25" s="375"/>
      <c r="I25" s="375"/>
      <c r="J25" s="375"/>
      <c r="K25" s="375"/>
      <c r="L25" s="375"/>
      <c r="M25" s="375"/>
      <c r="N25" s="375"/>
      <c r="O25" s="375"/>
      <c r="P25" s="130"/>
      <c r="Q25" s="398"/>
    </row>
    <row r="26" spans="2:17" ht="3.75" customHeight="1" x14ac:dyDescent="0.25">
      <c r="B26" s="364"/>
      <c r="C26" s="376"/>
      <c r="D26" s="377"/>
      <c r="E26" s="422"/>
      <c r="F26" s="422"/>
      <c r="G26" s="365"/>
      <c r="H26" s="365"/>
      <c r="I26" s="365"/>
      <c r="J26" s="365"/>
      <c r="K26" s="365"/>
      <c r="L26" s="365"/>
      <c r="M26" s="365"/>
      <c r="N26" s="365"/>
      <c r="O26" s="365"/>
      <c r="P26" s="130"/>
      <c r="Q26" s="398"/>
    </row>
    <row r="27" spans="2:17" x14ac:dyDescent="0.25">
      <c r="B27" s="364"/>
      <c r="C27" s="376"/>
      <c r="D27" s="2294" t="s">
        <v>12</v>
      </c>
      <c r="E27" s="2294"/>
      <c r="F27" s="422"/>
      <c r="G27" s="2307"/>
      <c r="H27" s="2307"/>
      <c r="I27" s="2307"/>
      <c r="J27" s="2307"/>
      <c r="K27" s="2307"/>
      <c r="L27" s="2307"/>
      <c r="M27" s="2307"/>
      <c r="N27" s="2307"/>
      <c r="O27" s="2307"/>
      <c r="P27" s="130"/>
      <c r="Q27" s="398"/>
    </row>
    <row r="28" spans="2:17" ht="3.75" customHeight="1" x14ac:dyDescent="0.25">
      <c r="B28" s="364"/>
      <c r="C28" s="367"/>
      <c r="D28" s="1844"/>
      <c r="E28" s="422"/>
      <c r="F28" s="422"/>
      <c r="G28" s="371"/>
      <c r="H28" s="371"/>
      <c r="I28" s="371"/>
      <c r="J28" s="371"/>
      <c r="K28" s="371"/>
      <c r="L28" s="371"/>
      <c r="M28" s="371"/>
      <c r="N28" s="371"/>
      <c r="O28" s="371"/>
      <c r="P28" s="130"/>
      <c r="Q28" s="398"/>
    </row>
    <row r="29" spans="2:17" x14ac:dyDescent="0.25">
      <c r="B29" s="364"/>
      <c r="C29" s="367"/>
      <c r="D29" s="1844" t="s">
        <v>13</v>
      </c>
      <c r="E29" s="422"/>
      <c r="F29" s="422"/>
      <c r="G29" s="2308"/>
      <c r="H29" s="2308"/>
      <c r="I29" s="369" t="s">
        <v>14</v>
      </c>
      <c r="J29" s="2307"/>
      <c r="K29" s="2307"/>
      <c r="L29" s="369" t="s">
        <v>15</v>
      </c>
      <c r="M29" s="2307"/>
      <c r="N29" s="2307"/>
      <c r="O29" s="2307"/>
      <c r="P29" s="130"/>
      <c r="Q29" s="398"/>
    </row>
    <row r="30" spans="2:17" ht="3.75" customHeight="1" x14ac:dyDescent="0.25">
      <c r="B30" s="364"/>
      <c r="C30" s="376"/>
      <c r="D30" s="1844"/>
      <c r="E30" s="422"/>
      <c r="F30" s="422"/>
      <c r="G30" s="365"/>
      <c r="H30" s="365"/>
      <c r="I30" s="365"/>
      <c r="J30" s="365"/>
      <c r="K30" s="365"/>
      <c r="L30" s="365"/>
      <c r="M30" s="365"/>
      <c r="N30" s="365"/>
      <c r="O30" s="365"/>
      <c r="P30" s="130"/>
      <c r="Q30" s="398"/>
    </row>
    <row r="31" spans="2:17" x14ac:dyDescent="0.25">
      <c r="B31" s="364"/>
      <c r="C31" s="376"/>
      <c r="D31" s="1844" t="s">
        <v>16</v>
      </c>
      <c r="E31" s="422"/>
      <c r="F31" s="422"/>
      <c r="G31" s="2307"/>
      <c r="H31" s="2307"/>
      <c r="I31" s="422"/>
      <c r="J31" s="422"/>
      <c r="K31" s="369" t="s">
        <v>17</v>
      </c>
      <c r="L31" s="2307"/>
      <c r="M31" s="2307"/>
      <c r="N31" s="2307"/>
      <c r="O31" s="2307"/>
      <c r="P31" s="130"/>
      <c r="Q31" s="398"/>
    </row>
    <row r="32" spans="2:17" ht="3.75" customHeight="1" x14ac:dyDescent="0.25">
      <c r="B32" s="364"/>
      <c r="C32" s="376"/>
      <c r="D32" s="1844"/>
      <c r="E32" s="422"/>
      <c r="F32" s="422"/>
      <c r="G32" s="365"/>
      <c r="H32" s="365"/>
      <c r="I32" s="365"/>
      <c r="J32" s="365"/>
      <c r="K32" s="365"/>
      <c r="L32" s="365"/>
      <c r="M32" s="365"/>
      <c r="N32" s="365"/>
      <c r="O32" s="365"/>
      <c r="P32" s="130"/>
      <c r="Q32" s="398"/>
    </row>
    <row r="33" spans="2:17" x14ac:dyDescent="0.25">
      <c r="B33" s="364"/>
      <c r="C33" s="376"/>
      <c r="D33" s="1844" t="s">
        <v>18</v>
      </c>
      <c r="E33" s="422"/>
      <c r="F33" s="422"/>
      <c r="G33" s="1847"/>
      <c r="H33" s="369" t="s">
        <v>19</v>
      </c>
      <c r="I33" s="1848"/>
      <c r="J33" s="422"/>
      <c r="K33" s="369" t="s">
        <v>20</v>
      </c>
      <c r="L33" s="2309"/>
      <c r="M33" s="2307"/>
      <c r="N33" s="2307"/>
      <c r="O33" s="2307"/>
      <c r="P33" s="130"/>
      <c r="Q33" s="398"/>
    </row>
    <row r="34" spans="2:17" ht="3.75" customHeight="1" x14ac:dyDescent="0.25">
      <c r="B34" s="364"/>
      <c r="C34" s="326"/>
      <c r="D34" s="1844"/>
      <c r="E34" s="422"/>
      <c r="F34" s="422"/>
      <c r="G34" s="365"/>
      <c r="H34" s="365"/>
      <c r="I34" s="365"/>
      <c r="J34" s="365"/>
      <c r="K34" s="365"/>
      <c r="L34" s="365"/>
      <c r="M34" s="365"/>
      <c r="N34" s="365"/>
      <c r="O34" s="365"/>
      <c r="P34" s="130"/>
      <c r="Q34" s="398"/>
    </row>
    <row r="35" spans="2:17" x14ac:dyDescent="0.25">
      <c r="B35" s="364"/>
      <c r="C35" s="376"/>
      <c r="D35" s="1844" t="s">
        <v>21</v>
      </c>
      <c r="E35" s="422"/>
      <c r="F35" s="422"/>
      <c r="G35" s="2307"/>
      <c r="H35" s="2307"/>
      <c r="I35" s="2307"/>
      <c r="J35" s="2307"/>
      <c r="K35" s="2307"/>
      <c r="L35" s="2307"/>
      <c r="M35" s="2307"/>
      <c r="N35" s="2307"/>
      <c r="O35" s="2307"/>
      <c r="P35" s="130"/>
      <c r="Q35" s="398"/>
    </row>
    <row r="36" spans="2:17" ht="7.5" customHeight="1" x14ac:dyDescent="0.25">
      <c r="B36" s="364"/>
      <c r="C36" s="326"/>
      <c r="D36" s="422"/>
      <c r="E36" s="422"/>
      <c r="F36" s="422"/>
      <c r="G36" s="365"/>
      <c r="H36" s="365"/>
      <c r="I36" s="365"/>
      <c r="J36" s="365"/>
      <c r="K36" s="365"/>
      <c r="L36" s="365"/>
      <c r="M36" s="365"/>
      <c r="N36" s="365"/>
      <c r="O36" s="365"/>
      <c r="P36" s="130"/>
      <c r="Q36" s="398"/>
    </row>
    <row r="37" spans="2:17" ht="15.75" thickBot="1" x14ac:dyDescent="0.3">
      <c r="B37" s="364"/>
      <c r="C37" s="374" t="s">
        <v>499</v>
      </c>
      <c r="D37" s="375"/>
      <c r="E37" s="375"/>
      <c r="F37" s="375"/>
      <c r="G37" s="375"/>
      <c r="H37" s="375"/>
      <c r="I37" s="375"/>
      <c r="J37" s="375"/>
      <c r="K37" s="375"/>
      <c r="L37" s="375"/>
      <c r="M37" s="375"/>
      <c r="N37" s="375"/>
      <c r="O37" s="375"/>
      <c r="P37" s="130"/>
      <c r="Q37" s="398"/>
    </row>
    <row r="38" spans="2:17" ht="3.75" customHeight="1" x14ac:dyDescent="0.25">
      <c r="B38" s="364"/>
      <c r="C38" s="130"/>
      <c r="D38" s="422"/>
      <c r="E38" s="1844"/>
      <c r="F38" s="1844"/>
      <c r="G38" s="1844"/>
      <c r="H38" s="1844"/>
      <c r="I38" s="1844"/>
      <c r="J38" s="1844"/>
      <c r="K38" s="1844"/>
      <c r="L38" s="422"/>
      <c r="M38" s="422"/>
      <c r="N38" s="422"/>
      <c r="O38" s="422"/>
      <c r="P38" s="130"/>
      <c r="Q38" s="398"/>
    </row>
    <row r="39" spans="2:17" x14ac:dyDescent="0.25">
      <c r="B39" s="364"/>
      <c r="C39" s="130"/>
      <c r="D39" s="422"/>
      <c r="E39" s="1845" t="s">
        <v>22</v>
      </c>
      <c r="F39" s="394"/>
      <c r="G39" s="2305" t="s">
        <v>23</v>
      </c>
      <c r="H39" s="2295"/>
      <c r="I39" s="2306"/>
      <c r="J39" s="394"/>
      <c r="K39" s="373"/>
      <c r="L39" s="1845" t="s">
        <v>24</v>
      </c>
      <c r="M39" s="394"/>
      <c r="N39" s="378"/>
      <c r="O39" s="422"/>
      <c r="P39" s="130"/>
      <c r="Q39" s="398"/>
    </row>
    <row r="40" spans="2:17" ht="3.75" customHeight="1" x14ac:dyDescent="0.25">
      <c r="B40" s="364"/>
      <c r="C40" s="130"/>
      <c r="D40" s="422"/>
      <c r="E40" s="1845"/>
      <c r="F40" s="379"/>
      <c r="G40" s="2295"/>
      <c r="H40" s="2295"/>
      <c r="I40" s="2295"/>
      <c r="J40" s="380"/>
      <c r="K40" s="379"/>
      <c r="L40" s="1844"/>
      <c r="M40" s="1844"/>
      <c r="N40" s="378"/>
      <c r="O40" s="422"/>
      <c r="P40" s="130"/>
      <c r="Q40" s="398"/>
    </row>
    <row r="41" spans="2:17" x14ac:dyDescent="0.25">
      <c r="B41" s="364"/>
      <c r="C41" s="130"/>
      <c r="D41" s="422"/>
      <c r="E41" s="1845" t="s">
        <v>25</v>
      </c>
      <c r="F41" s="394"/>
      <c r="G41" s="2305" t="s">
        <v>26</v>
      </c>
      <c r="H41" s="2295"/>
      <c r="I41" s="2306"/>
      <c r="J41" s="394"/>
      <c r="K41" s="381"/>
      <c r="L41" s="1845" t="s">
        <v>27</v>
      </c>
      <c r="M41" s="394"/>
      <c r="N41" s="378"/>
      <c r="O41" s="422"/>
      <c r="P41" s="130"/>
      <c r="Q41" s="398"/>
    </row>
    <row r="42" spans="2:17" ht="3.75" customHeight="1" x14ac:dyDescent="0.25">
      <c r="B42" s="364"/>
      <c r="C42" s="130"/>
      <c r="D42" s="422"/>
      <c r="E42" s="1845"/>
      <c r="F42" s="379"/>
      <c r="G42" s="2295"/>
      <c r="H42" s="2295"/>
      <c r="I42" s="2295"/>
      <c r="J42" s="380"/>
      <c r="K42" s="379"/>
      <c r="L42" s="422"/>
      <c r="M42" s="422"/>
      <c r="N42" s="422"/>
      <c r="O42" s="422"/>
      <c r="P42" s="130"/>
      <c r="Q42" s="398"/>
    </row>
    <row r="43" spans="2:17" x14ac:dyDescent="0.25">
      <c r="B43" s="364"/>
      <c r="C43" s="130"/>
      <c r="D43" s="422"/>
      <c r="E43" s="1845" t="s">
        <v>28</v>
      </c>
      <c r="F43" s="394"/>
      <c r="G43" s="2305" t="s">
        <v>29</v>
      </c>
      <c r="H43" s="2295"/>
      <c r="I43" s="2306"/>
      <c r="J43" s="394"/>
      <c r="K43" s="373"/>
      <c r="L43" s="379"/>
      <c r="M43" s="379"/>
      <c r="N43" s="422"/>
      <c r="O43" s="422"/>
      <c r="P43" s="130"/>
      <c r="Q43" s="398"/>
    </row>
    <row r="44" spans="2:17" ht="3.75" customHeight="1" x14ac:dyDescent="0.25">
      <c r="B44" s="364"/>
      <c r="C44" s="130"/>
      <c r="D44" s="422"/>
      <c r="E44" s="379"/>
      <c r="F44" s="379"/>
      <c r="G44" s="379"/>
      <c r="H44" s="379"/>
      <c r="I44" s="379"/>
      <c r="J44" s="379"/>
      <c r="K44" s="379"/>
      <c r="L44" s="422"/>
      <c r="M44" s="422"/>
      <c r="N44" s="422"/>
      <c r="O44" s="422"/>
      <c r="P44" s="130"/>
      <c r="Q44" s="398"/>
    </row>
    <row r="45" spans="2:17" x14ac:dyDescent="0.25">
      <c r="B45" s="364"/>
      <c r="C45" s="130"/>
      <c r="D45" s="422"/>
      <c r="E45" s="1846" t="s">
        <v>30</v>
      </c>
      <c r="F45" s="394"/>
      <c r="G45" s="2305" t="s">
        <v>31</v>
      </c>
      <c r="H45" s="2295"/>
      <c r="I45" s="2306"/>
      <c r="J45" s="394"/>
      <c r="K45" s="382"/>
      <c r="L45" s="422"/>
      <c r="M45" s="422"/>
      <c r="N45" s="422"/>
      <c r="O45" s="422"/>
      <c r="P45" s="130"/>
      <c r="Q45" s="398"/>
    </row>
    <row r="46" spans="2:17" ht="3.75" customHeight="1" x14ac:dyDescent="0.25">
      <c r="B46" s="364"/>
      <c r="C46" s="130"/>
      <c r="D46" s="422"/>
      <c r="E46" s="1845"/>
      <c r="F46" s="373"/>
      <c r="G46" s="1845"/>
      <c r="H46" s="1845"/>
      <c r="I46" s="1845"/>
      <c r="J46" s="382"/>
      <c r="K46" s="382"/>
      <c r="L46" s="422"/>
      <c r="M46" s="422"/>
      <c r="N46" s="422"/>
      <c r="O46" s="422"/>
      <c r="P46" s="130"/>
      <c r="Q46" s="398"/>
    </row>
    <row r="47" spans="2:17" x14ac:dyDescent="0.25">
      <c r="B47" s="364"/>
      <c r="C47" s="130"/>
      <c r="D47" s="422" t="s">
        <v>32</v>
      </c>
      <c r="E47" s="422"/>
      <c r="F47" s="422"/>
      <c r="G47" s="379"/>
      <c r="H47" s="422"/>
      <c r="I47" s="383"/>
      <c r="J47" s="382"/>
      <c r="K47" s="382"/>
      <c r="L47" s="422"/>
      <c r="M47" s="422"/>
      <c r="N47" s="422"/>
      <c r="O47" s="422"/>
      <c r="P47" s="130"/>
      <c r="Q47" s="398"/>
    </row>
    <row r="48" spans="2:17" ht="3.75" customHeight="1" x14ac:dyDescent="0.25">
      <c r="B48" s="364"/>
      <c r="C48" s="130"/>
      <c r="D48" s="422"/>
      <c r="E48" s="1844"/>
      <c r="F48" s="379"/>
      <c r="G48" s="379"/>
      <c r="H48" s="422"/>
      <c r="I48" s="383"/>
      <c r="J48" s="382"/>
      <c r="K48" s="382"/>
      <c r="L48" s="422"/>
      <c r="M48" s="422"/>
      <c r="N48" s="422"/>
      <c r="O48" s="422"/>
      <c r="P48" s="130"/>
      <c r="Q48" s="398"/>
    </row>
    <row r="49" spans="2:17" x14ac:dyDescent="0.25">
      <c r="B49" s="364"/>
      <c r="C49" s="130"/>
      <c r="D49" s="2296"/>
      <c r="E49" s="2297"/>
      <c r="F49" s="2297"/>
      <c r="G49" s="2297"/>
      <c r="H49" s="2297"/>
      <c r="I49" s="2297"/>
      <c r="J49" s="2297"/>
      <c r="K49" s="2297"/>
      <c r="L49" s="2297"/>
      <c r="M49" s="2297"/>
      <c r="N49" s="2297"/>
      <c r="O49" s="2298"/>
      <c r="P49" s="130"/>
      <c r="Q49" s="398"/>
    </row>
    <row r="50" spans="2:17" x14ac:dyDescent="0.25">
      <c r="B50" s="364"/>
      <c r="C50" s="130"/>
      <c r="D50" s="2299"/>
      <c r="E50" s="2300"/>
      <c r="F50" s="2300"/>
      <c r="G50" s="2300"/>
      <c r="H50" s="2300"/>
      <c r="I50" s="2300"/>
      <c r="J50" s="2300"/>
      <c r="K50" s="2300"/>
      <c r="L50" s="2300"/>
      <c r="M50" s="2300"/>
      <c r="N50" s="2300"/>
      <c r="O50" s="2301"/>
      <c r="P50" s="130"/>
      <c r="Q50" s="398"/>
    </row>
    <row r="51" spans="2:17" x14ac:dyDescent="0.25">
      <c r="B51" s="364"/>
      <c r="C51" s="130"/>
      <c r="D51" s="2299"/>
      <c r="E51" s="2300"/>
      <c r="F51" s="2300"/>
      <c r="G51" s="2300"/>
      <c r="H51" s="2300"/>
      <c r="I51" s="2300"/>
      <c r="J51" s="2300"/>
      <c r="K51" s="2300"/>
      <c r="L51" s="2300"/>
      <c r="M51" s="2300"/>
      <c r="N51" s="2300"/>
      <c r="O51" s="2301"/>
      <c r="P51" s="130"/>
      <c r="Q51" s="398"/>
    </row>
    <row r="52" spans="2:17" x14ac:dyDescent="0.25">
      <c r="B52" s="364"/>
      <c r="C52" s="130"/>
      <c r="D52" s="2299"/>
      <c r="E52" s="2300"/>
      <c r="F52" s="2300"/>
      <c r="G52" s="2300"/>
      <c r="H52" s="2300"/>
      <c r="I52" s="2300"/>
      <c r="J52" s="2300"/>
      <c r="K52" s="2300"/>
      <c r="L52" s="2300"/>
      <c r="M52" s="2300"/>
      <c r="N52" s="2300"/>
      <c r="O52" s="2301"/>
      <c r="P52" s="130"/>
      <c r="Q52" s="398"/>
    </row>
    <row r="53" spans="2:17" x14ac:dyDescent="0.25">
      <c r="B53" s="364"/>
      <c r="C53" s="130"/>
      <c r="D53" s="2302"/>
      <c r="E53" s="2303"/>
      <c r="F53" s="2303"/>
      <c r="G53" s="2303"/>
      <c r="H53" s="2303"/>
      <c r="I53" s="2303"/>
      <c r="J53" s="2303"/>
      <c r="K53" s="2303"/>
      <c r="L53" s="2303"/>
      <c r="M53" s="2303"/>
      <c r="N53" s="2303"/>
      <c r="O53" s="2304"/>
      <c r="P53" s="130"/>
      <c r="Q53" s="398"/>
    </row>
    <row r="54" spans="2:17" ht="15" customHeight="1" thickBot="1" x14ac:dyDescent="0.3">
      <c r="B54" s="364"/>
      <c r="C54" s="130"/>
      <c r="D54" s="384"/>
      <c r="E54" s="384"/>
      <c r="F54" s="385"/>
      <c r="G54" s="384"/>
      <c r="H54" s="385"/>
      <c r="I54" s="385"/>
      <c r="J54" s="385"/>
      <c r="K54" s="385"/>
      <c r="L54" s="385"/>
      <c r="M54" s="385"/>
      <c r="N54" s="385"/>
      <c r="O54" s="385"/>
      <c r="P54" s="130"/>
      <c r="Q54" s="398"/>
    </row>
    <row r="55" spans="2:17" ht="15" customHeight="1" thickBot="1" x14ac:dyDescent="0.3">
      <c r="B55" s="364"/>
      <c r="C55" s="130"/>
      <c r="D55" s="386" t="s">
        <v>33</v>
      </c>
      <c r="E55" s="384"/>
      <c r="F55" s="673"/>
      <c r="G55" s="387" t="str">
        <f>IF(F55&gt;1,"STOP!","")</f>
        <v/>
      </c>
      <c r="H55" s="2310" t="str">
        <f>IF(G55="STOP!","Projects incorporating more than one Site must submit a multiple-Site set of Forms. Please contact Sean Harrington via email at sean.harrington@commerce.wa.gov to request a set tailored for your Project","")</f>
        <v/>
      </c>
      <c r="I55" s="2310"/>
      <c r="J55" s="2310"/>
      <c r="K55" s="2310"/>
      <c r="L55" s="2310"/>
      <c r="M55" s="2310"/>
      <c r="N55" s="2310"/>
      <c r="O55" s="388"/>
      <c r="P55" s="130"/>
      <c r="Q55" s="398"/>
    </row>
    <row r="56" spans="2:17" ht="15" customHeight="1" thickBot="1" x14ac:dyDescent="0.3">
      <c r="B56" s="364"/>
      <c r="C56" s="130"/>
      <c r="D56" s="384"/>
      <c r="E56" s="384"/>
      <c r="F56" s="385"/>
      <c r="G56" s="384"/>
      <c r="H56" s="2310"/>
      <c r="I56" s="2310"/>
      <c r="J56" s="2310"/>
      <c r="K56" s="2310"/>
      <c r="L56" s="2310"/>
      <c r="M56" s="2310"/>
      <c r="N56" s="2310"/>
      <c r="O56" s="388"/>
      <c r="P56" s="130"/>
      <c r="Q56" s="398"/>
    </row>
    <row r="57" spans="2:17" ht="15" customHeight="1" thickTop="1" thickBot="1" x14ac:dyDescent="0.3">
      <c r="B57" s="364"/>
      <c r="C57" s="130"/>
      <c r="D57" s="161" t="s">
        <v>35</v>
      </c>
      <c r="E57" s="422"/>
      <c r="F57" s="2261"/>
      <c r="G57" s="422"/>
      <c r="H57" s="2310"/>
      <c r="I57" s="2310"/>
      <c r="J57" s="2310"/>
      <c r="K57" s="2310"/>
      <c r="L57" s="2310"/>
      <c r="M57" s="2310"/>
      <c r="N57" s="2310"/>
      <c r="O57" s="388"/>
      <c r="P57" s="130"/>
      <c r="Q57" s="398"/>
    </row>
    <row r="58" spans="2:17" ht="15" customHeight="1" thickTop="1" x14ac:dyDescent="0.25">
      <c r="B58" s="364"/>
      <c r="C58" s="130"/>
      <c r="D58" s="389"/>
      <c r="E58" s="130"/>
      <c r="F58" s="422"/>
      <c r="G58" s="422"/>
      <c r="H58" s="2310"/>
      <c r="I58" s="2310"/>
      <c r="J58" s="2310"/>
      <c r="K58" s="2310"/>
      <c r="L58" s="2310"/>
      <c r="M58" s="2310"/>
      <c r="N58" s="2310"/>
      <c r="O58" s="388"/>
      <c r="P58" s="130"/>
      <c r="Q58" s="398"/>
    </row>
    <row r="59" spans="2:17" ht="15" customHeight="1" x14ac:dyDescent="0.25">
      <c r="B59" s="364"/>
      <c r="C59" s="130"/>
      <c r="D59" s="130"/>
      <c r="E59" s="390"/>
      <c r="F59" s="391"/>
      <c r="G59" s="390"/>
      <c r="H59" s="390"/>
      <c r="I59" s="390"/>
      <c r="J59" s="392"/>
      <c r="K59" s="392"/>
      <c r="L59" s="130"/>
      <c r="M59" s="130"/>
      <c r="N59" s="130"/>
      <c r="O59" s="130"/>
      <c r="P59" s="130"/>
      <c r="Q59" s="398"/>
    </row>
    <row r="60" spans="2:17" ht="3.75" customHeight="1" thickBot="1" x14ac:dyDescent="0.3">
      <c r="B60" s="1878"/>
      <c r="C60" s="1879"/>
      <c r="D60" s="1879"/>
      <c r="E60" s="1879"/>
      <c r="F60" s="1880"/>
      <c r="G60" s="1879"/>
      <c r="H60" s="1879"/>
      <c r="I60" s="1879"/>
      <c r="J60" s="1879"/>
      <c r="K60" s="1881"/>
      <c r="L60" s="1880"/>
      <c r="M60" s="1880"/>
      <c r="N60" s="1880"/>
      <c r="O60" s="1879"/>
      <c r="P60" s="1879"/>
      <c r="Q60" s="1882"/>
    </row>
  </sheetData>
  <sheetProtection algorithmName="SHA-512" hashValue="Iyk6JZ4bZoihx4VPU2jk5Ri/jGQhMfj2rwDiVszoOdv2Wf8otJqaU2zbOVddgQYyxkbJd/3uo7m0rn793ShPAQ==" saltValue="xYi46oJC/lq7unQ9H+3Ybw==" spinCount="100000" sheet="1" formatCells="0" formatColumns="0" formatRows="0"/>
  <mergeCells count="28">
    <mergeCell ref="G35:O35"/>
    <mergeCell ref="H55:N58"/>
    <mergeCell ref="G5:O5"/>
    <mergeCell ref="G8:O8"/>
    <mergeCell ref="G10:O10"/>
    <mergeCell ref="G15:O15"/>
    <mergeCell ref="G17:O17"/>
    <mergeCell ref="G23:O23"/>
    <mergeCell ref="G12:H12"/>
    <mergeCell ref="J12:O12"/>
    <mergeCell ref="G19:H19"/>
    <mergeCell ref="J19:O19"/>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s>
  <conditionalFormatting sqref="F39 F41 F43 F45 J39 J41 J43 J45 M39 M41">
    <cfRule type="cellIs" dxfId="165" priority="3" operator="equal">
      <formula>"X"</formula>
    </cfRule>
  </conditionalFormatting>
  <conditionalFormatting sqref="H55:N58">
    <cfRule type="containsText" dxfId="164" priority="2" operator="containsText" text="projects">
      <formula>NOT(ISERROR(SEARCH("projects",H55)))</formula>
    </cfRule>
  </conditionalFormatting>
  <conditionalFormatting sqref="G55">
    <cfRule type="containsText" dxfId="163" priority="1" operator="containsText" text="STOP">
      <formula>NOT(ISERROR(SEARCH("STOP",G55)))</formula>
    </cfRule>
  </conditionalFormatting>
  <dataValidations count="2">
    <dataValidation type="list" allowBlank="1" showInputMessage="1" showErrorMessage="1" sqref="L21" xr:uid="{00000000-0002-0000-0700-000000000000}">
      <formula1>Yes_or_No</formula1>
    </dataValidation>
    <dataValidation type="list" allowBlank="1" showInputMessage="1" showErrorMessage="1" sqref="F39 F41 F43 F45 J39 J41 J43 J45 M39 M41" xr:uid="{00000000-0002-0000-0700-000001000000}">
      <formula1>Enable</formula1>
    </dataValidation>
  </dataValidations>
  <pageMargins left="0.7" right="0.7" top="0.75" bottom="0.75" header="0.3" footer="0.3"/>
  <pageSetup scale="91" orientation="portrait" r:id="rId1"/>
  <headerFooter>
    <oddFooter>&amp;LForm 1
Project Summary&amp;CCFA Forms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O24"/>
  <sheetViews>
    <sheetView showGridLines="0" zoomScaleNormal="100" workbookViewId="0">
      <selection activeCell="S26" sqref="S26"/>
    </sheetView>
  </sheetViews>
  <sheetFormatPr defaultColWidth="9.140625" defaultRowHeight="15" x14ac:dyDescent="0.25"/>
  <cols>
    <col min="1" max="2" width="1.7109375" style="395" customWidth="1"/>
    <col min="3" max="3" width="11" style="395" customWidth="1"/>
    <col min="4" max="5" width="14" style="395" bestFit="1" customWidth="1"/>
    <col min="6" max="6" width="17.7109375" style="395" customWidth="1"/>
    <col min="7" max="7" width="14.7109375" style="395" bestFit="1" customWidth="1"/>
    <col min="8" max="8" width="11.5703125" style="395" customWidth="1"/>
    <col min="9" max="11" width="10.140625" style="395" customWidth="1"/>
    <col min="12" max="13" width="12.140625" style="395" customWidth="1"/>
    <col min="14" max="14" width="13.42578125" style="395" customWidth="1"/>
    <col min="15" max="16" width="1.7109375" style="395" customWidth="1"/>
    <col min="17" max="16384" width="9.140625" style="395"/>
  </cols>
  <sheetData>
    <row r="1" spans="2:15" ht="9" customHeight="1" thickBot="1" x14ac:dyDescent="0.3"/>
    <row r="2" spans="2:15" ht="9" customHeight="1" x14ac:dyDescent="0.25">
      <c r="B2" s="400"/>
      <c r="C2" s="401"/>
      <c r="D2" s="401"/>
      <c r="E2" s="401"/>
      <c r="F2" s="401"/>
      <c r="G2" s="401"/>
      <c r="H2" s="402"/>
      <c r="I2" s="401"/>
      <c r="J2" s="401"/>
      <c r="K2" s="401"/>
      <c r="L2" s="401"/>
      <c r="M2" s="401"/>
      <c r="N2" s="401"/>
      <c r="O2" s="403"/>
    </row>
    <row r="3" spans="2:15" ht="18.75" x14ac:dyDescent="0.3">
      <c r="B3" s="404"/>
      <c r="C3" s="2293" t="s">
        <v>44</v>
      </c>
      <c r="D3" s="2293"/>
      <c r="E3" s="2293"/>
      <c r="F3" s="2293"/>
      <c r="G3" s="2293"/>
      <c r="H3" s="2293"/>
      <c r="I3" s="2293"/>
      <c r="J3" s="2293"/>
      <c r="K3" s="2293"/>
      <c r="L3" s="2293"/>
      <c r="M3" s="2293"/>
      <c r="N3" s="2293"/>
      <c r="O3" s="405"/>
    </row>
    <row r="4" spans="2:15" x14ac:dyDescent="0.25">
      <c r="B4" s="404"/>
      <c r="C4" s="406"/>
      <c r="D4" s="406"/>
      <c r="E4" s="406"/>
      <c r="F4" s="406"/>
      <c r="G4" s="406"/>
      <c r="H4" s="143"/>
      <c r="I4" s="406"/>
      <c r="J4" s="406"/>
      <c r="K4" s="406"/>
      <c r="L4" s="406"/>
      <c r="M4" s="406"/>
      <c r="N4" s="406"/>
      <c r="O4" s="405"/>
    </row>
    <row r="5" spans="2:15" ht="15.75" thickBot="1" x14ac:dyDescent="0.3">
      <c r="B5" s="404"/>
      <c r="C5" s="2313" t="str">
        <f>IF('1'!G5="","Enter Project Name on Form 1",(CONCATENATE("Project Name: ",'1'!G5)))</f>
        <v>Enter Project Name on Form 1</v>
      </c>
      <c r="D5" s="2313"/>
      <c r="E5" s="2313"/>
      <c r="F5" s="2313"/>
      <c r="G5" s="2313"/>
      <c r="H5" s="2313"/>
      <c r="I5" s="2313"/>
      <c r="J5" s="2313"/>
      <c r="K5" s="1869"/>
      <c r="L5" s="406"/>
      <c r="M5" s="406"/>
      <c r="N5" s="406"/>
      <c r="O5" s="405"/>
    </row>
    <row r="6" spans="2:15" ht="15.75" thickBot="1" x14ac:dyDescent="0.3">
      <c r="B6" s="404"/>
      <c r="C6" s="406"/>
      <c r="D6" s="406"/>
      <c r="E6" s="406"/>
      <c r="F6" s="406"/>
      <c r="G6" s="406"/>
      <c r="H6" s="143"/>
      <c r="I6" s="406"/>
      <c r="J6" s="406"/>
      <c r="K6" s="406"/>
      <c r="L6" s="406"/>
      <c r="M6" s="406"/>
      <c r="N6" s="406"/>
      <c r="O6" s="405"/>
    </row>
    <row r="7" spans="2:15" ht="60" x14ac:dyDescent="0.25">
      <c r="B7" s="404"/>
      <c r="C7" s="1045" t="s">
        <v>501</v>
      </c>
      <c r="D7" s="1506" t="s">
        <v>593</v>
      </c>
      <c r="E7" s="1506" t="s">
        <v>594</v>
      </c>
      <c r="F7" s="1046" t="s">
        <v>45</v>
      </c>
      <c r="G7" s="1047" t="s">
        <v>46</v>
      </c>
      <c r="H7" s="1048" t="s">
        <v>48</v>
      </c>
      <c r="I7" s="1047" t="s">
        <v>49</v>
      </c>
      <c r="J7" s="1047" t="s">
        <v>50</v>
      </c>
      <c r="K7" s="1049" t="s">
        <v>51</v>
      </c>
      <c r="L7" s="1050" t="s">
        <v>42</v>
      </c>
      <c r="M7" s="1048" t="s">
        <v>47</v>
      </c>
      <c r="N7" s="1051" t="s">
        <v>1579</v>
      </c>
      <c r="O7" s="405"/>
    </row>
    <row r="8" spans="2:15" x14ac:dyDescent="0.25">
      <c r="B8" s="404"/>
      <c r="C8" s="1040"/>
      <c r="D8" s="1084"/>
      <c r="E8" s="1084"/>
      <c r="F8" s="799"/>
      <c r="G8" s="800"/>
      <c r="H8" s="801"/>
      <c r="I8" s="801"/>
      <c r="J8" s="801"/>
      <c r="K8" s="802"/>
      <c r="L8" s="803">
        <f>SUM(I8:K8)</f>
        <v>0</v>
      </c>
      <c r="M8" s="1673"/>
      <c r="N8" s="1042"/>
      <c r="O8" s="405"/>
    </row>
    <row r="9" spans="2:15" x14ac:dyDescent="0.25">
      <c r="B9" s="404"/>
      <c r="C9" s="1041"/>
      <c r="D9" s="1085"/>
      <c r="E9" s="1085"/>
      <c r="F9" s="804"/>
      <c r="G9" s="805"/>
      <c r="H9" s="806"/>
      <c r="I9" s="806"/>
      <c r="J9" s="806"/>
      <c r="K9" s="807"/>
      <c r="L9" s="808">
        <f t="shared" ref="L9:L21" si="0">SUM(I9:K9)</f>
        <v>0</v>
      </c>
      <c r="M9" s="1674"/>
      <c r="N9" s="1043"/>
      <c r="O9" s="405"/>
    </row>
    <row r="10" spans="2:15" x14ac:dyDescent="0.25">
      <c r="B10" s="404"/>
      <c r="C10" s="1041"/>
      <c r="D10" s="1085"/>
      <c r="E10" s="1085"/>
      <c r="F10" s="804"/>
      <c r="G10" s="805"/>
      <c r="H10" s="806"/>
      <c r="I10" s="806"/>
      <c r="J10" s="806"/>
      <c r="K10" s="807"/>
      <c r="L10" s="808">
        <f t="shared" si="0"/>
        <v>0</v>
      </c>
      <c r="M10" s="1674"/>
      <c r="N10" s="1043"/>
      <c r="O10" s="405"/>
    </row>
    <row r="11" spans="2:15" x14ac:dyDescent="0.25">
      <c r="B11" s="404"/>
      <c r="C11" s="1041"/>
      <c r="D11" s="1085"/>
      <c r="E11" s="1085"/>
      <c r="F11" s="804"/>
      <c r="G11" s="805"/>
      <c r="H11" s="806"/>
      <c r="I11" s="806"/>
      <c r="J11" s="806"/>
      <c r="K11" s="807"/>
      <c r="L11" s="808">
        <f t="shared" si="0"/>
        <v>0</v>
      </c>
      <c r="M11" s="1674"/>
      <c r="N11" s="1043"/>
      <c r="O11" s="405"/>
    </row>
    <row r="12" spans="2:15" x14ac:dyDescent="0.25">
      <c r="B12" s="404"/>
      <c r="C12" s="1041"/>
      <c r="D12" s="1085"/>
      <c r="E12" s="1085"/>
      <c r="F12" s="804"/>
      <c r="G12" s="805"/>
      <c r="H12" s="806"/>
      <c r="I12" s="806"/>
      <c r="J12" s="806"/>
      <c r="K12" s="807"/>
      <c r="L12" s="808">
        <f t="shared" si="0"/>
        <v>0</v>
      </c>
      <c r="M12" s="1674"/>
      <c r="N12" s="1043"/>
      <c r="O12" s="405"/>
    </row>
    <row r="13" spans="2:15" x14ac:dyDescent="0.25">
      <c r="B13" s="404"/>
      <c r="C13" s="1041"/>
      <c r="D13" s="1085"/>
      <c r="E13" s="1085"/>
      <c r="F13" s="804"/>
      <c r="G13" s="805"/>
      <c r="H13" s="806"/>
      <c r="I13" s="806"/>
      <c r="J13" s="806"/>
      <c r="K13" s="807"/>
      <c r="L13" s="809">
        <f t="shared" si="0"/>
        <v>0</v>
      </c>
      <c r="M13" s="1674"/>
      <c r="N13" s="1043"/>
      <c r="O13" s="405"/>
    </row>
    <row r="14" spans="2:15" x14ac:dyDescent="0.25">
      <c r="B14" s="404"/>
      <c r="C14" s="1959"/>
      <c r="D14" s="1085"/>
      <c r="E14" s="1085"/>
      <c r="F14" s="804"/>
      <c r="G14" s="810"/>
      <c r="H14" s="811"/>
      <c r="I14" s="811"/>
      <c r="J14" s="811"/>
      <c r="K14" s="812"/>
      <c r="L14" s="809">
        <f t="shared" si="0"/>
        <v>0</v>
      </c>
      <c r="M14" s="1674"/>
      <c r="N14" s="1043"/>
      <c r="O14" s="405"/>
    </row>
    <row r="15" spans="2:15" x14ac:dyDescent="0.25">
      <c r="B15" s="404"/>
      <c r="C15" s="1041"/>
      <c r="D15" s="1085"/>
      <c r="E15" s="1085"/>
      <c r="F15" s="804"/>
      <c r="G15" s="805"/>
      <c r="H15" s="806"/>
      <c r="I15" s="806"/>
      <c r="J15" s="806"/>
      <c r="K15" s="807"/>
      <c r="L15" s="808">
        <f t="shared" si="0"/>
        <v>0</v>
      </c>
      <c r="M15" s="1674"/>
      <c r="N15" s="1043"/>
      <c r="O15" s="405"/>
    </row>
    <row r="16" spans="2:15" x14ac:dyDescent="0.25">
      <c r="B16" s="404"/>
      <c r="C16" s="1041"/>
      <c r="D16" s="1085"/>
      <c r="E16" s="1085"/>
      <c r="F16" s="804"/>
      <c r="G16" s="805"/>
      <c r="H16" s="806"/>
      <c r="I16" s="806"/>
      <c r="J16" s="806"/>
      <c r="K16" s="807"/>
      <c r="L16" s="808">
        <f t="shared" si="0"/>
        <v>0</v>
      </c>
      <c r="M16" s="1674"/>
      <c r="N16" s="1043"/>
      <c r="O16" s="405"/>
    </row>
    <row r="17" spans="2:15" x14ac:dyDescent="0.25">
      <c r="B17" s="404"/>
      <c r="C17" s="1041"/>
      <c r="D17" s="1085"/>
      <c r="E17" s="1085"/>
      <c r="F17" s="804"/>
      <c r="G17" s="805"/>
      <c r="H17" s="806"/>
      <c r="I17" s="806"/>
      <c r="J17" s="806"/>
      <c r="K17" s="807"/>
      <c r="L17" s="808">
        <f t="shared" si="0"/>
        <v>0</v>
      </c>
      <c r="M17" s="1674"/>
      <c r="N17" s="1043"/>
      <c r="O17" s="405"/>
    </row>
    <row r="18" spans="2:15" x14ac:dyDescent="0.25">
      <c r="B18" s="404"/>
      <c r="C18" s="1041"/>
      <c r="D18" s="1085"/>
      <c r="E18" s="1085"/>
      <c r="F18" s="804"/>
      <c r="G18" s="805"/>
      <c r="H18" s="806"/>
      <c r="I18" s="806"/>
      <c r="J18" s="806"/>
      <c r="K18" s="807"/>
      <c r="L18" s="808">
        <f t="shared" si="0"/>
        <v>0</v>
      </c>
      <c r="M18" s="1674"/>
      <c r="N18" s="1043"/>
      <c r="O18" s="405"/>
    </row>
    <row r="19" spans="2:15" x14ac:dyDescent="0.25">
      <c r="B19" s="404"/>
      <c r="C19" s="1041"/>
      <c r="D19" s="1085"/>
      <c r="E19" s="1085"/>
      <c r="F19" s="804"/>
      <c r="G19" s="805"/>
      <c r="H19" s="806"/>
      <c r="I19" s="806"/>
      <c r="J19" s="806"/>
      <c r="K19" s="807"/>
      <c r="L19" s="808">
        <f t="shared" si="0"/>
        <v>0</v>
      </c>
      <c r="M19" s="1674"/>
      <c r="N19" s="1043"/>
      <c r="O19" s="405"/>
    </row>
    <row r="20" spans="2:15" x14ac:dyDescent="0.25">
      <c r="B20" s="404"/>
      <c r="C20" s="1959"/>
      <c r="D20" s="1085"/>
      <c r="E20" s="1085"/>
      <c r="F20" s="804"/>
      <c r="G20" s="810"/>
      <c r="H20" s="811"/>
      <c r="I20" s="811"/>
      <c r="J20" s="811"/>
      <c r="K20" s="812"/>
      <c r="L20" s="809">
        <f t="shared" si="0"/>
        <v>0</v>
      </c>
      <c r="M20" s="1674"/>
      <c r="N20" s="1043"/>
      <c r="O20" s="405"/>
    </row>
    <row r="21" spans="2:15" ht="15.75" thickBot="1" x14ac:dyDescent="0.3">
      <c r="B21" s="404"/>
      <c r="C21" s="1960"/>
      <c r="D21" s="1086"/>
      <c r="E21" s="1086"/>
      <c r="F21" s="813"/>
      <c r="G21" s="814"/>
      <c r="H21" s="815"/>
      <c r="I21" s="815"/>
      <c r="J21" s="815"/>
      <c r="K21" s="817"/>
      <c r="L21" s="816">
        <f t="shared" si="0"/>
        <v>0</v>
      </c>
      <c r="M21" s="1675"/>
      <c r="N21" s="1044"/>
      <c r="O21" s="405"/>
    </row>
    <row r="22" spans="2:15" ht="16.5" thickTop="1" thickBot="1" x14ac:dyDescent="0.3">
      <c r="B22" s="1507"/>
      <c r="C22" s="1500" t="s">
        <v>1135</v>
      </c>
      <c r="D22" s="719"/>
      <c r="E22" s="719"/>
      <c r="F22" s="719"/>
      <c r="G22" s="720"/>
      <c r="H22" s="718" t="s">
        <v>40</v>
      </c>
      <c r="I22" s="408">
        <f>SUM(I8:I21)</f>
        <v>0</v>
      </c>
      <c r="J22" s="409">
        <f>SUM(J8:J21)</f>
        <v>0</v>
      </c>
      <c r="K22" s="410">
        <f>SUM(K8:K21)</f>
        <v>0</v>
      </c>
      <c r="L22" s="411">
        <f>SUM(L8:L21)</f>
        <v>0</v>
      </c>
      <c r="M22" s="716"/>
      <c r="N22" s="717"/>
      <c r="O22" s="1508"/>
    </row>
    <row r="23" spans="2:15" ht="15.75" thickBot="1" x14ac:dyDescent="0.3">
      <c r="B23" s="1509"/>
      <c r="C23" s="1510"/>
      <c r="D23" s="1510"/>
      <c r="E23" s="1510"/>
      <c r="F23" s="1510"/>
      <c r="G23" s="1510"/>
      <c r="H23" s="1510"/>
      <c r="I23" s="1510"/>
      <c r="J23" s="2314" t="str">
        <f>IF(L22&lt;&gt;'1'!F57,"WARNING: Total Units does not match Form 1","")</f>
        <v/>
      </c>
      <c r="K23" s="2314"/>
      <c r="L23" s="2314"/>
      <c r="M23" s="2314"/>
      <c r="N23" s="1510"/>
      <c r="O23" s="413"/>
    </row>
    <row r="24" spans="2:15" x14ac:dyDescent="0.25">
      <c r="L24" s="2156"/>
    </row>
  </sheetData>
  <sheetProtection algorithmName="SHA-512" hashValue="0vshhdgX1aFdOk7hkDhlIpQLOjkJ3yNG7mSMxaetVnpTDL7QEozq6KOXBHUdqCHwwW+jYpPxSA3nbqE+SRS8Qw==" saltValue="2fNJ9Nd4wjRZKrb1g/trLg==" spinCount="100000" sheet="1" formatCells="0" formatColumns="0" formatRows="0"/>
  <mergeCells count="3">
    <mergeCell ref="C3:N3"/>
    <mergeCell ref="C5:J5"/>
    <mergeCell ref="J23:M23"/>
  </mergeCells>
  <conditionalFormatting sqref="J23:M23">
    <cfRule type="containsText" dxfId="162" priority="1" operator="containsText" text="warning">
      <formula>NOT(ISERROR(SEARCH("warning",J23)))</formula>
    </cfRule>
  </conditionalFormatting>
  <dataValidations count="3">
    <dataValidation type="list" allowBlank="1" showInputMessage="1" showErrorMessage="1" sqref="F8:F21" xr:uid="{00000000-0002-0000-0800-000000000000}">
      <formula1>Building_Type</formula1>
    </dataValidation>
    <dataValidation type="list" allowBlank="1" showInputMessage="1" showErrorMessage="1" sqref="G8:G21" xr:uid="{00000000-0002-0000-0800-000001000000}">
      <formula1>Activity_Type</formula1>
    </dataValidation>
    <dataValidation type="list" allowBlank="1" showInputMessage="1" showErrorMessage="1" sqref="H8:H21" xr:uid="{00000000-0002-0000-0800-000002000000}">
      <formula1>Yes_or_No</formula1>
    </dataValidation>
  </dataValidations>
  <pageMargins left="0.7" right="0.7" top="0.75" bottom="0.75" header="0.3" footer="0.3"/>
  <pageSetup scale="79" orientation="landscape" r:id="rId1"/>
  <headerFooter>
    <oddFooter>&amp;LForm 2A
Building Information&amp;CCFA Forms</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1:U35"/>
  <sheetViews>
    <sheetView showGridLines="0" topLeftCell="A7" zoomScaleNormal="100" workbookViewId="0">
      <selection activeCell="K37" sqref="K37"/>
    </sheetView>
  </sheetViews>
  <sheetFormatPr defaultColWidth="9.140625" defaultRowHeight="15" x14ac:dyDescent="0.25"/>
  <cols>
    <col min="1" max="2" width="1.7109375" style="395" customWidth="1"/>
    <col min="3" max="11" width="11" style="395" customWidth="1"/>
    <col min="12" max="12" width="1.140625" style="395" customWidth="1"/>
    <col min="13" max="15" width="12" style="395" customWidth="1"/>
    <col min="16" max="17" width="1.7109375" style="395" customWidth="1"/>
    <col min="18" max="16384" width="9.140625" style="395"/>
  </cols>
  <sheetData>
    <row r="11" spans="2:16" ht="15.75" thickBot="1" x14ac:dyDescent="0.3"/>
    <row r="12" spans="2:16" ht="9" customHeight="1" x14ac:dyDescent="0.25">
      <c r="B12" s="199"/>
      <c r="C12" s="415"/>
      <c r="D12" s="415"/>
      <c r="E12" s="415"/>
      <c r="F12" s="415"/>
      <c r="G12" s="415"/>
      <c r="H12" s="415"/>
      <c r="I12" s="415"/>
      <c r="J12" s="415"/>
      <c r="K12" s="415"/>
      <c r="L12" s="415"/>
      <c r="M12" s="415"/>
      <c r="N12" s="415"/>
      <c r="O12" s="415"/>
      <c r="P12" s="416"/>
    </row>
    <row r="13" spans="2:16" ht="18.75" x14ac:dyDescent="0.25">
      <c r="B13" s="4"/>
      <c r="C13" s="2320" t="s">
        <v>52</v>
      </c>
      <c r="D13" s="2320"/>
      <c r="E13" s="2320"/>
      <c r="F13" s="2320"/>
      <c r="G13" s="2320"/>
      <c r="H13" s="2320"/>
      <c r="I13" s="2320"/>
      <c r="J13" s="2320"/>
      <c r="K13" s="2320"/>
      <c r="L13" s="2320"/>
      <c r="M13" s="2320"/>
      <c r="N13" s="2320"/>
      <c r="O13" s="2320"/>
      <c r="P13" s="3"/>
    </row>
    <row r="14" spans="2:16" ht="15" customHeight="1" x14ac:dyDescent="0.25">
      <c r="B14" s="4"/>
      <c r="C14" s="1"/>
      <c r="D14" s="1"/>
      <c r="E14" s="417"/>
      <c r="F14" s="417"/>
      <c r="G14" s="417"/>
      <c r="H14" s="417"/>
      <c r="I14" s="417"/>
      <c r="J14" s="417"/>
      <c r="K14" s="1"/>
      <c r="L14" s="1"/>
      <c r="M14" s="1"/>
      <c r="N14" s="1"/>
      <c r="O14" s="1"/>
      <c r="P14" s="3"/>
    </row>
    <row r="15" spans="2:16" ht="15.75" thickBot="1" x14ac:dyDescent="0.3">
      <c r="B15" s="142"/>
      <c r="C15" s="2323" t="str">
        <f>IF('1'!G5="","Enter Project Name on Form 1",(CONCATENATE("Project Name: ",'1'!G5)))</f>
        <v>Enter Project Name on Form 1</v>
      </c>
      <c r="D15" s="2323"/>
      <c r="E15" s="2323"/>
      <c r="F15" s="2323"/>
      <c r="G15" s="2323"/>
      <c r="H15" s="2323"/>
      <c r="I15" s="2323"/>
      <c r="J15" s="2323"/>
      <c r="K15" s="2323"/>
      <c r="L15" s="146"/>
      <c r="M15" s="143"/>
      <c r="N15" s="143"/>
      <c r="O15" s="143"/>
      <c r="P15" s="144"/>
    </row>
    <row r="16" spans="2:16" s="414" customFormat="1" ht="15.75" thickBot="1" x14ac:dyDescent="0.3">
      <c r="B16" s="142"/>
      <c r="C16" s="418"/>
      <c r="D16" s="418"/>
      <c r="E16" s="418"/>
      <c r="F16" s="418"/>
      <c r="G16" s="418"/>
      <c r="H16" s="418"/>
      <c r="I16" s="418"/>
      <c r="J16" s="418"/>
      <c r="K16" s="418"/>
      <c r="L16" s="418"/>
      <c r="M16" s="143"/>
      <c r="N16" s="143"/>
      <c r="O16" s="143"/>
      <c r="P16" s="144"/>
    </row>
    <row r="17" spans="2:21" ht="16.5" thickBot="1" x14ac:dyDescent="0.3">
      <c r="B17" s="142"/>
      <c r="C17" s="418"/>
      <c r="D17" s="2324" t="s">
        <v>53</v>
      </c>
      <c r="E17" s="2325"/>
      <c r="F17" s="2325"/>
      <c r="G17" s="2325"/>
      <c r="H17" s="2325"/>
      <c r="I17" s="2325"/>
      <c r="J17" s="2325"/>
      <c r="K17" s="2326"/>
      <c r="L17" s="674"/>
      <c r="M17" s="2321" t="s">
        <v>54</v>
      </c>
      <c r="N17" s="2322"/>
      <c r="O17" s="1077" t="s">
        <v>55</v>
      </c>
      <c r="P17" s="1078"/>
    </row>
    <row r="18" spans="2:21" ht="39" customHeight="1" thickBot="1" x14ac:dyDescent="0.3">
      <c r="B18" s="1511"/>
      <c r="C18" s="1512"/>
      <c r="D18" s="2327" t="s">
        <v>56</v>
      </c>
      <c r="E18" s="2317" t="s">
        <v>61</v>
      </c>
      <c r="F18" s="2317" t="s">
        <v>62</v>
      </c>
      <c r="G18" s="2317" t="s">
        <v>50</v>
      </c>
      <c r="H18" s="2317" t="s">
        <v>63</v>
      </c>
      <c r="I18" s="2317" t="s">
        <v>64</v>
      </c>
      <c r="J18" s="2317" t="s">
        <v>65</v>
      </c>
      <c r="K18" s="2333" t="s">
        <v>66</v>
      </c>
      <c r="L18" s="2315"/>
      <c r="M18" s="2317" t="s">
        <v>57</v>
      </c>
      <c r="N18" s="2329" t="s">
        <v>58</v>
      </c>
      <c r="O18" s="2331" t="s">
        <v>59</v>
      </c>
      <c r="P18" s="1513"/>
    </row>
    <row r="19" spans="2:21" ht="15.75" thickBot="1" x14ac:dyDescent="0.3">
      <c r="B19" s="1511"/>
      <c r="C19" s="1514" t="s">
        <v>60</v>
      </c>
      <c r="D19" s="2328"/>
      <c r="E19" s="2318"/>
      <c r="F19" s="2318"/>
      <c r="G19" s="2318"/>
      <c r="H19" s="2318"/>
      <c r="I19" s="2318"/>
      <c r="J19" s="2318"/>
      <c r="K19" s="2334"/>
      <c r="L19" s="2316"/>
      <c r="M19" s="2318"/>
      <c r="N19" s="2330"/>
      <c r="O19" s="2332"/>
      <c r="P19" s="1513"/>
    </row>
    <row r="20" spans="2:21" x14ac:dyDescent="0.25">
      <c r="B20" s="419"/>
      <c r="C20" s="1883">
        <f>'2A'!C8</f>
        <v>0</v>
      </c>
      <c r="D20" s="818"/>
      <c r="E20" s="1980"/>
      <c r="F20" s="1981"/>
      <c r="G20" s="1981"/>
      <c r="H20" s="1981"/>
      <c r="I20" s="1981"/>
      <c r="J20" s="822"/>
      <c r="K20" s="819">
        <f>SUM(E20:J20)</f>
        <v>0</v>
      </c>
      <c r="L20" s="820"/>
      <c r="M20" s="821"/>
      <c r="N20" s="822"/>
      <c r="O20" s="1052">
        <f>K20+N20</f>
        <v>0</v>
      </c>
      <c r="P20" s="3"/>
      <c r="R20" s="2319" t="str">
        <f>IF(AND('2A'!I22&lt;&gt;0,'2B'!E34=0),"WARNING: Square footage needed for Low Income Units","")</f>
        <v/>
      </c>
      <c r="S20" s="2319"/>
      <c r="T20" s="2319"/>
      <c r="U20" s="2319"/>
    </row>
    <row r="21" spans="2:21" x14ac:dyDescent="0.25">
      <c r="B21" s="419"/>
      <c r="C21" s="1884">
        <f>'2A'!C9</f>
        <v>0</v>
      </c>
      <c r="D21" s="823"/>
      <c r="E21" s="824"/>
      <c r="F21" s="825"/>
      <c r="G21" s="825"/>
      <c r="H21" s="825"/>
      <c r="I21" s="825"/>
      <c r="J21" s="826"/>
      <c r="K21" s="827">
        <f t="shared" ref="K21:K33" si="0">SUM(E21:J21)</f>
        <v>0</v>
      </c>
      <c r="L21" s="828"/>
      <c r="M21" s="829"/>
      <c r="N21" s="830"/>
      <c r="O21" s="1053">
        <f t="shared" ref="O21:O33" si="1">K21+N21</f>
        <v>0</v>
      </c>
      <c r="P21" s="3"/>
      <c r="R21" s="2319"/>
      <c r="S21" s="2319"/>
      <c r="T21" s="2319"/>
      <c r="U21" s="2319"/>
    </row>
    <row r="22" spans="2:21" x14ac:dyDescent="0.25">
      <c r="B22" s="419"/>
      <c r="C22" s="1884">
        <f>'2A'!C10</f>
        <v>0</v>
      </c>
      <c r="D22" s="823"/>
      <c r="E22" s="824"/>
      <c r="F22" s="825"/>
      <c r="G22" s="825"/>
      <c r="H22" s="825"/>
      <c r="I22" s="825"/>
      <c r="J22" s="826"/>
      <c r="K22" s="827">
        <f t="shared" si="0"/>
        <v>0</v>
      </c>
      <c r="L22" s="828"/>
      <c r="M22" s="829"/>
      <c r="N22" s="830"/>
      <c r="O22" s="1053">
        <f t="shared" si="1"/>
        <v>0</v>
      </c>
      <c r="P22" s="3"/>
      <c r="R22" s="2202"/>
      <c r="S22" s="2202"/>
      <c r="T22" s="2202"/>
      <c r="U22" s="2202"/>
    </row>
    <row r="23" spans="2:21" x14ac:dyDescent="0.25">
      <c r="B23" s="419"/>
      <c r="C23" s="1884">
        <f>'2A'!C11</f>
        <v>0</v>
      </c>
      <c r="D23" s="831"/>
      <c r="E23" s="832"/>
      <c r="F23" s="833"/>
      <c r="G23" s="833"/>
      <c r="H23" s="833"/>
      <c r="I23" s="833"/>
      <c r="J23" s="830"/>
      <c r="K23" s="827">
        <f t="shared" si="0"/>
        <v>0</v>
      </c>
      <c r="L23" s="828"/>
      <c r="M23" s="829"/>
      <c r="N23" s="830"/>
      <c r="O23" s="1053">
        <f t="shared" si="1"/>
        <v>0</v>
      </c>
      <c r="P23" s="3"/>
      <c r="R23" s="2319" t="str">
        <f>IF(AND('2A'!K22&lt;&gt;0,'2B'!F34=0),"WARNING: Square footage needed for Common Area/Manager Units","")</f>
        <v/>
      </c>
      <c r="S23" s="2319"/>
      <c r="T23" s="2319"/>
      <c r="U23" s="2319"/>
    </row>
    <row r="24" spans="2:21" x14ac:dyDescent="0.25">
      <c r="B24" s="419"/>
      <c r="C24" s="1884">
        <f>'2A'!C12</f>
        <v>0</v>
      </c>
      <c r="D24" s="823"/>
      <c r="E24" s="824"/>
      <c r="F24" s="825"/>
      <c r="G24" s="825"/>
      <c r="H24" s="825"/>
      <c r="I24" s="825"/>
      <c r="J24" s="826"/>
      <c r="K24" s="827">
        <f t="shared" si="0"/>
        <v>0</v>
      </c>
      <c r="L24" s="828"/>
      <c r="M24" s="829"/>
      <c r="N24" s="830"/>
      <c r="O24" s="1053">
        <f t="shared" si="1"/>
        <v>0</v>
      </c>
      <c r="P24" s="3"/>
      <c r="R24" s="2319"/>
      <c r="S24" s="2319"/>
      <c r="T24" s="2319"/>
      <c r="U24" s="2319"/>
    </row>
    <row r="25" spans="2:21" x14ac:dyDescent="0.25">
      <c r="B25" s="419"/>
      <c r="C25" s="1884">
        <f>'2A'!C13</f>
        <v>0</v>
      </c>
      <c r="D25" s="831"/>
      <c r="E25" s="832"/>
      <c r="F25" s="833"/>
      <c r="G25" s="833"/>
      <c r="H25" s="833"/>
      <c r="I25" s="833"/>
      <c r="J25" s="830"/>
      <c r="K25" s="827">
        <f t="shared" si="0"/>
        <v>0</v>
      </c>
      <c r="L25" s="828"/>
      <c r="M25" s="829"/>
      <c r="N25" s="830"/>
      <c r="O25" s="1053">
        <f t="shared" si="1"/>
        <v>0</v>
      </c>
      <c r="P25" s="3"/>
      <c r="R25" s="2202"/>
      <c r="S25" s="2202"/>
      <c r="T25" s="2202"/>
      <c r="U25" s="2202"/>
    </row>
    <row r="26" spans="2:21" x14ac:dyDescent="0.25">
      <c r="B26" s="419"/>
      <c r="C26" s="1885">
        <f>'2A'!C14</f>
        <v>0</v>
      </c>
      <c r="D26" s="823"/>
      <c r="E26" s="824"/>
      <c r="F26" s="825"/>
      <c r="G26" s="825"/>
      <c r="H26" s="825"/>
      <c r="I26" s="825"/>
      <c r="J26" s="826"/>
      <c r="K26" s="827">
        <f t="shared" si="0"/>
        <v>0</v>
      </c>
      <c r="L26" s="828"/>
      <c r="M26" s="829"/>
      <c r="N26" s="830"/>
      <c r="O26" s="1053">
        <f t="shared" si="1"/>
        <v>0</v>
      </c>
      <c r="P26" s="3"/>
      <c r="R26" s="2319" t="str">
        <f>IF(AND('2A'!J22&lt;&gt;0,'2B'!G34=0),"WARNING: Square footage needed for Market Rate Units","")</f>
        <v/>
      </c>
      <c r="S26" s="2319"/>
      <c r="T26" s="2319"/>
      <c r="U26" s="2319"/>
    </row>
    <row r="27" spans="2:21" x14ac:dyDescent="0.25">
      <c r="B27" s="419"/>
      <c r="C27" s="1884">
        <f>'2A'!C15</f>
        <v>0</v>
      </c>
      <c r="D27" s="831"/>
      <c r="E27" s="832"/>
      <c r="F27" s="833"/>
      <c r="G27" s="833"/>
      <c r="H27" s="833"/>
      <c r="I27" s="833"/>
      <c r="J27" s="830"/>
      <c r="K27" s="827">
        <f t="shared" si="0"/>
        <v>0</v>
      </c>
      <c r="L27" s="828"/>
      <c r="M27" s="829"/>
      <c r="N27" s="830"/>
      <c r="O27" s="1053">
        <f t="shared" si="1"/>
        <v>0</v>
      </c>
      <c r="P27" s="3"/>
      <c r="R27" s="2319"/>
      <c r="S27" s="2319"/>
      <c r="T27" s="2319"/>
      <c r="U27" s="2319"/>
    </row>
    <row r="28" spans="2:21" x14ac:dyDescent="0.25">
      <c r="B28" s="419"/>
      <c r="C28" s="1884">
        <f>'2A'!C16</f>
        <v>0</v>
      </c>
      <c r="D28" s="823"/>
      <c r="E28" s="824"/>
      <c r="F28" s="825"/>
      <c r="G28" s="825"/>
      <c r="H28" s="825"/>
      <c r="I28" s="825"/>
      <c r="J28" s="826"/>
      <c r="K28" s="827">
        <f t="shared" si="0"/>
        <v>0</v>
      </c>
      <c r="L28" s="828"/>
      <c r="M28" s="829"/>
      <c r="N28" s="830"/>
      <c r="O28" s="1053">
        <f t="shared" si="1"/>
        <v>0</v>
      </c>
      <c r="P28" s="3"/>
    </row>
    <row r="29" spans="2:21" x14ac:dyDescent="0.25">
      <c r="B29" s="419"/>
      <c r="C29" s="1884">
        <f>'2A'!C17</f>
        <v>0</v>
      </c>
      <c r="D29" s="831"/>
      <c r="E29" s="832"/>
      <c r="F29" s="833"/>
      <c r="G29" s="833"/>
      <c r="H29" s="833"/>
      <c r="I29" s="833"/>
      <c r="J29" s="830"/>
      <c r="K29" s="827">
        <f t="shared" si="0"/>
        <v>0</v>
      </c>
      <c r="L29" s="828"/>
      <c r="M29" s="829"/>
      <c r="N29" s="830"/>
      <c r="O29" s="1053">
        <f t="shared" si="1"/>
        <v>0</v>
      </c>
      <c r="P29" s="3"/>
    </row>
    <row r="30" spans="2:21" x14ac:dyDescent="0.25">
      <c r="B30" s="419"/>
      <c r="C30" s="1884">
        <f>'2A'!C18</f>
        <v>0</v>
      </c>
      <c r="D30" s="823"/>
      <c r="E30" s="824"/>
      <c r="F30" s="825"/>
      <c r="G30" s="825"/>
      <c r="H30" s="825"/>
      <c r="I30" s="825"/>
      <c r="J30" s="826"/>
      <c r="K30" s="827">
        <f t="shared" si="0"/>
        <v>0</v>
      </c>
      <c r="L30" s="828"/>
      <c r="M30" s="829"/>
      <c r="N30" s="830"/>
      <c r="O30" s="1053">
        <f t="shared" si="1"/>
        <v>0</v>
      </c>
      <c r="P30" s="3"/>
    </row>
    <row r="31" spans="2:21" x14ac:dyDescent="0.25">
      <c r="B31" s="419"/>
      <c r="C31" s="1884">
        <f>'2A'!C19</f>
        <v>0</v>
      </c>
      <c r="D31" s="831"/>
      <c r="E31" s="832"/>
      <c r="F31" s="833"/>
      <c r="G31" s="833"/>
      <c r="H31" s="833"/>
      <c r="I31" s="833"/>
      <c r="J31" s="830"/>
      <c r="K31" s="827">
        <f t="shared" si="0"/>
        <v>0</v>
      </c>
      <c r="L31" s="828"/>
      <c r="M31" s="829"/>
      <c r="N31" s="830"/>
      <c r="O31" s="1053">
        <f t="shared" si="1"/>
        <v>0</v>
      </c>
      <c r="P31" s="3"/>
    </row>
    <row r="32" spans="2:21" x14ac:dyDescent="0.25">
      <c r="B32" s="419"/>
      <c r="C32" s="1885">
        <f>'2A'!C20</f>
        <v>0</v>
      </c>
      <c r="D32" s="823"/>
      <c r="E32" s="824"/>
      <c r="F32" s="825"/>
      <c r="G32" s="825"/>
      <c r="H32" s="825"/>
      <c r="I32" s="825"/>
      <c r="J32" s="826"/>
      <c r="K32" s="827">
        <f t="shared" si="0"/>
        <v>0</v>
      </c>
      <c r="L32" s="828"/>
      <c r="M32" s="829"/>
      <c r="N32" s="830"/>
      <c r="O32" s="1053">
        <f t="shared" si="1"/>
        <v>0</v>
      </c>
      <c r="P32" s="3"/>
    </row>
    <row r="33" spans="2:16" ht="15.75" thickBot="1" x14ac:dyDescent="0.3">
      <c r="B33" s="419"/>
      <c r="C33" s="1886">
        <f>'2A'!C21</f>
        <v>0</v>
      </c>
      <c r="D33" s="835"/>
      <c r="E33" s="836"/>
      <c r="F33" s="837"/>
      <c r="G33" s="837"/>
      <c r="H33" s="837"/>
      <c r="I33" s="837"/>
      <c r="J33" s="838"/>
      <c r="K33" s="839">
        <f t="shared" si="0"/>
        <v>0</v>
      </c>
      <c r="L33" s="834"/>
      <c r="M33" s="840"/>
      <c r="N33" s="841"/>
      <c r="O33" s="1054">
        <f t="shared" si="1"/>
        <v>0</v>
      </c>
      <c r="P33" s="3"/>
    </row>
    <row r="34" spans="2:16" ht="16.5" thickTop="1" thickBot="1" x14ac:dyDescent="0.3">
      <c r="B34" s="419"/>
      <c r="C34" s="420" t="s">
        <v>67</v>
      </c>
      <c r="D34" s="675"/>
      <c r="E34" s="842">
        <f t="shared" ref="E34:K34" si="2">SUM(E20:E33)</f>
        <v>0</v>
      </c>
      <c r="F34" s="843">
        <f t="shared" si="2"/>
        <v>0</v>
      </c>
      <c r="G34" s="843">
        <f t="shared" si="2"/>
        <v>0</v>
      </c>
      <c r="H34" s="843">
        <f t="shared" si="2"/>
        <v>0</v>
      </c>
      <c r="I34" s="843">
        <f t="shared" si="2"/>
        <v>0</v>
      </c>
      <c r="J34" s="844">
        <f t="shared" si="2"/>
        <v>0</v>
      </c>
      <c r="K34" s="680">
        <f t="shared" si="2"/>
        <v>0</v>
      </c>
      <c r="L34" s="677"/>
      <c r="M34" s="678"/>
      <c r="N34" s="676">
        <f>SUM(N20:N33)</f>
        <v>0</v>
      </c>
      <c r="O34" s="679">
        <f>SUM(O20:O33)</f>
        <v>0</v>
      </c>
      <c r="P34" s="3"/>
    </row>
    <row r="35" spans="2:16" ht="15.75" thickBot="1" x14ac:dyDescent="0.3">
      <c r="B35" s="1515"/>
      <c r="C35" s="6"/>
      <c r="D35" s="6"/>
      <c r="E35" s="6"/>
      <c r="F35" s="6"/>
      <c r="G35" s="6"/>
      <c r="H35" s="6"/>
      <c r="I35" s="6"/>
      <c r="J35" s="6"/>
      <c r="K35" s="6"/>
      <c r="L35" s="6"/>
      <c r="M35" s="421"/>
      <c r="N35" s="421"/>
      <c r="O35" s="421"/>
      <c r="P35" s="1516"/>
    </row>
  </sheetData>
  <sheetProtection algorithmName="SHA-512" hashValue="wmq/iR29BE18FkGgbnzLbTwQThqbj5Jiit7ZSpy1Q3eNPdCulqe3FVTjcccqZk89SP5cYWQXIbSP2uLc2UOSFQ==" saltValue="vnVrhse2e36v7OvaQBkaTQ==" spinCount="100000" sheet="1" formatCells="0" formatColumns="0" formatRows="0"/>
  <mergeCells count="19">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 ref="R20:U21"/>
    <mergeCell ref="R23:U24"/>
    <mergeCell ref="R26:U27"/>
  </mergeCells>
  <conditionalFormatting sqref="E20:E33">
    <cfRule type="expression" dxfId="145" priority="32">
      <formula>$R$20&lt;&gt;""</formula>
    </cfRule>
  </conditionalFormatting>
  <conditionalFormatting sqref="F20:F33">
    <cfRule type="expression" dxfId="144" priority="36">
      <formula>$R$23&lt;&gt;""</formula>
    </cfRule>
  </conditionalFormatting>
  <conditionalFormatting sqref="G20:G33">
    <cfRule type="expression" dxfId="143" priority="39">
      <formula>$R$26&lt;&gt;""</formula>
    </cfRule>
  </conditionalFormatting>
  <conditionalFormatting sqref="R20:U27">
    <cfRule type="containsText" dxfId="142" priority="1" operator="containsText" text="warning">
      <formula>NOT(ISERROR(SEARCH("warning",R20)))</formula>
    </cfRule>
  </conditionalFormatting>
  <pageMargins left="0.7" right="0.7" top="0.75" bottom="0.75" header="0.3" footer="0.3"/>
  <pageSetup scale="87" orientation="landscape" r:id="rId1"/>
  <headerFooter>
    <oddFooter>&amp;LForm 2B
Square Footage Details&amp;CCFA Forms</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0:P151"/>
  <sheetViews>
    <sheetView showGridLines="0" topLeftCell="A127" zoomScaleNormal="100" zoomScaleSheetLayoutView="70" zoomScalePageLayoutView="70" workbookViewId="0">
      <selection activeCell="H33" sqref="H33"/>
    </sheetView>
  </sheetViews>
  <sheetFormatPr defaultColWidth="9.140625" defaultRowHeight="15" x14ac:dyDescent="0.25"/>
  <cols>
    <col min="1" max="4" width="1.7109375" style="1517" customWidth="1"/>
    <col min="5" max="5" width="14.28515625" style="1517" customWidth="1"/>
    <col min="6" max="6" width="16.28515625" style="1517" customWidth="1"/>
    <col min="7" max="7" width="4" style="1517" customWidth="1"/>
    <col min="8" max="8" width="36" style="1517" customWidth="1"/>
    <col min="9" max="9" width="38.85546875" style="1517" bestFit="1" customWidth="1"/>
    <col min="10" max="10" width="8.42578125" style="1517" bestFit="1" customWidth="1"/>
    <col min="11" max="11" width="3.28515625" style="1517" hidden="1" customWidth="1"/>
    <col min="12" max="13" width="1.7109375" style="1517" customWidth="1"/>
    <col min="14" max="16384" width="9.140625" style="1517"/>
  </cols>
  <sheetData>
    <row r="10" spans="2:12" ht="6.75" customHeight="1" x14ac:dyDescent="0.25"/>
    <row r="11" spans="2:12" ht="6.75" customHeight="1" thickBot="1" x14ac:dyDescent="0.3"/>
    <row r="12" spans="2:12" s="1518" customFormat="1" ht="7.5" customHeight="1" x14ac:dyDescent="0.25">
      <c r="B12" s="1285"/>
      <c r="C12" s="1286"/>
      <c r="D12" s="1286"/>
      <c r="E12" s="1286"/>
      <c r="F12" s="1286"/>
      <c r="G12" s="1286"/>
      <c r="H12" s="1286"/>
      <c r="I12" s="1286"/>
      <c r="J12" s="1286"/>
      <c r="K12" s="1286"/>
      <c r="L12" s="1287"/>
    </row>
    <row r="13" spans="2:12" s="1518" customFormat="1" ht="18.75" x14ac:dyDescent="0.3">
      <c r="B13" s="1288"/>
      <c r="C13" s="2335" t="s">
        <v>676</v>
      </c>
      <c r="D13" s="2335"/>
      <c r="E13" s="2335"/>
      <c r="F13" s="2335"/>
      <c r="G13" s="2335"/>
      <c r="H13" s="2335"/>
      <c r="I13" s="2335"/>
      <c r="J13" s="2335"/>
      <c r="K13" s="1849"/>
      <c r="L13" s="1289"/>
    </row>
    <row r="14" spans="2:12" s="1518" customFormat="1" ht="7.5" customHeight="1" x14ac:dyDescent="0.3">
      <c r="B14" s="1288"/>
      <c r="C14" s="1849"/>
      <c r="D14" s="1849"/>
      <c r="E14" s="1290"/>
      <c r="F14" s="1290"/>
      <c r="G14" s="1290"/>
      <c r="H14" s="1290"/>
      <c r="I14" s="1290"/>
      <c r="J14" s="1290"/>
      <c r="K14" s="1849"/>
      <c r="L14" s="1289"/>
    </row>
    <row r="15" spans="2:12" s="1518" customFormat="1" x14ac:dyDescent="0.25">
      <c r="B15" s="1288"/>
      <c r="C15" s="1291"/>
      <c r="D15" s="2336"/>
      <c r="E15" s="2336"/>
      <c r="F15" s="2336"/>
      <c r="G15" s="2336"/>
      <c r="H15" s="2336"/>
      <c r="I15" s="2336"/>
      <c r="J15" s="2336"/>
      <c r="K15" s="1849"/>
      <c r="L15" s="1289"/>
    </row>
    <row r="16" spans="2:12" s="1518" customFormat="1" ht="3.75" customHeight="1" x14ac:dyDescent="0.25">
      <c r="B16" s="1288"/>
      <c r="C16" s="1291"/>
      <c r="D16" s="1849"/>
      <c r="E16" s="1849"/>
      <c r="F16" s="1849"/>
      <c r="G16" s="1849"/>
      <c r="H16" s="1849"/>
      <c r="I16" s="1849"/>
      <c r="J16" s="1849"/>
      <c r="K16" s="1849"/>
      <c r="L16" s="1289"/>
    </row>
    <row r="17" spans="2:16" s="1518" customFormat="1" x14ac:dyDescent="0.25">
      <c r="B17" s="1288"/>
      <c r="C17" s="1291"/>
      <c r="D17" s="1849"/>
      <c r="E17" s="1849"/>
      <c r="F17" s="1849"/>
      <c r="G17" s="1849"/>
      <c r="H17" s="1849"/>
      <c r="I17" s="1849"/>
      <c r="J17" s="1849"/>
      <c r="K17" s="492"/>
      <c r="L17" s="559"/>
      <c r="M17" s="1519"/>
      <c r="N17" s="1519"/>
      <c r="O17" s="1519"/>
      <c r="P17" s="1519"/>
    </row>
    <row r="18" spans="2:16" ht="15.75" x14ac:dyDescent="0.25">
      <c r="B18" s="1288"/>
      <c r="C18" s="1291"/>
      <c r="D18" s="1849"/>
      <c r="E18" s="1292"/>
      <c r="F18" s="2337" t="str">
        <f>IF('1'!G5="","Enter Project Name on Form 1",(CONCATENATE("Project Name: ",'1'!G5)))</f>
        <v>Enter Project Name on Form 1</v>
      </c>
      <c r="G18" s="2337"/>
      <c r="H18" s="2337"/>
      <c r="I18" s="2337"/>
      <c r="J18" s="1284"/>
      <c r="K18" s="422"/>
      <c r="L18" s="200"/>
    </row>
    <row r="19" spans="2:16" ht="7.5" customHeight="1" x14ac:dyDescent="0.25">
      <c r="B19" s="1288"/>
      <c r="C19" s="1291"/>
      <c r="D19" s="1849"/>
      <c r="E19" s="1284"/>
      <c r="F19" s="1284"/>
      <c r="G19" s="1284"/>
      <c r="H19" s="422"/>
      <c r="I19" s="1284"/>
      <c r="J19" s="422"/>
      <c r="K19" s="422"/>
      <c r="L19" s="200"/>
    </row>
    <row r="20" spans="2:16" ht="7.5" customHeight="1" x14ac:dyDescent="0.25">
      <c r="B20" s="1288"/>
      <c r="C20" s="1291"/>
      <c r="D20" s="1849"/>
      <c r="E20" s="1284"/>
      <c r="F20" s="1284"/>
      <c r="G20" s="1284"/>
      <c r="H20" s="1869"/>
      <c r="I20" s="1294"/>
      <c r="J20" s="1293"/>
      <c r="K20" s="422"/>
      <c r="L20" s="200"/>
    </row>
    <row r="21" spans="2:16" x14ac:dyDescent="0.25">
      <c r="B21" s="1288"/>
      <c r="C21" s="1291"/>
      <c r="D21" s="1849"/>
      <c r="E21" s="17" t="s">
        <v>677</v>
      </c>
      <c r="F21" s="2338" t="s">
        <v>541</v>
      </c>
      <c r="G21" s="2339"/>
      <c r="H21" s="1869"/>
      <c r="I21" s="1294"/>
      <c r="J21" s="1293"/>
      <c r="K21" s="422"/>
      <c r="L21" s="200"/>
    </row>
    <row r="22" spans="2:16" ht="3.75" customHeight="1" x14ac:dyDescent="0.25">
      <c r="B22" s="1288"/>
      <c r="C22" s="1291"/>
      <c r="D22" s="1849"/>
      <c r="E22" s="422"/>
      <c r="F22" s="422"/>
      <c r="G22" s="216"/>
      <c r="H22" s="1869"/>
      <c r="I22" s="1869"/>
      <c r="J22" s="1869"/>
      <c r="K22" s="422"/>
      <c r="L22" s="200"/>
    </row>
    <row r="23" spans="2:16" x14ac:dyDescent="0.25">
      <c r="B23" s="1288"/>
      <c r="C23" s="1291"/>
      <c r="D23" s="1849"/>
      <c r="E23" s="17" t="s">
        <v>678</v>
      </c>
      <c r="F23" s="2338" t="s">
        <v>541</v>
      </c>
      <c r="G23" s="2339"/>
      <c r="H23" s="1869"/>
      <c r="I23" s="1294"/>
      <c r="J23" s="1293"/>
      <c r="K23" s="422"/>
      <c r="L23" s="200"/>
    </row>
    <row r="24" spans="2:16" x14ac:dyDescent="0.25">
      <c r="B24" s="1288"/>
      <c r="C24" s="1291"/>
      <c r="D24" s="1849"/>
      <c r="E24" s="422"/>
      <c r="F24" s="422"/>
      <c r="G24" s="216"/>
      <c r="H24" s="422"/>
      <c r="I24" s="1294"/>
      <c r="J24" s="1293"/>
      <c r="K24" s="422"/>
      <c r="L24" s="200"/>
    </row>
    <row r="25" spans="2:16" x14ac:dyDescent="0.25">
      <c r="B25" s="1288"/>
      <c r="C25" s="1291"/>
      <c r="D25" s="1849"/>
      <c r="E25" s="1295" t="s">
        <v>679</v>
      </c>
      <c r="F25" s="1295"/>
      <c r="G25" s="1295"/>
      <c r="H25" s="1295"/>
      <c r="I25" s="1284"/>
      <c r="J25" s="1284"/>
      <c r="K25" s="1849"/>
      <c r="L25" s="1289"/>
    </row>
    <row r="26" spans="2:16" x14ac:dyDescent="0.25">
      <c r="B26" s="1288"/>
      <c r="C26" s="1291"/>
      <c r="D26" s="1849"/>
      <c r="E26" s="1296" t="s">
        <v>680</v>
      </c>
      <c r="F26" s="1297" t="s">
        <v>681</v>
      </c>
      <c r="G26" s="1298"/>
      <c r="H26" s="1298"/>
      <c r="I26" s="1299" t="s">
        <v>682</v>
      </c>
      <c r="J26" s="1300" t="s">
        <v>683</v>
      </c>
      <c r="K26" s="1849"/>
      <c r="L26" s="1289"/>
      <c r="P26" s="1520"/>
    </row>
    <row r="27" spans="2:16" x14ac:dyDescent="0.25">
      <c r="B27" s="1288"/>
      <c r="C27" s="1291"/>
      <c r="D27" s="1849"/>
      <c r="E27" s="1301" t="s">
        <v>684</v>
      </c>
      <c r="F27" s="2343" t="s">
        <v>685</v>
      </c>
      <c r="G27" s="2344"/>
      <c r="H27" s="2345"/>
      <c r="I27" s="1302" t="str">
        <f t="array" ref="I27">IFERROR(INDEX('ESDS-Reference Table'!G1:G493,MATCH(1,('ESDS-Reference Table'!F1:F493=E27)*('ESDS-Reference Table'!H1:H493=F21)*('ESDS-Reference Table'!I1:I493=F23),0)),"Select Region and Activity")</f>
        <v>Select Region and Activity</v>
      </c>
      <c r="J27" s="1303"/>
      <c r="K27" s="1849">
        <f>N(J27)</f>
        <v>0</v>
      </c>
      <c r="L27" s="1289"/>
      <c r="N27" s="396"/>
    </row>
    <row r="28" spans="2:16" x14ac:dyDescent="0.25">
      <c r="B28" s="1288"/>
      <c r="C28" s="1291"/>
      <c r="D28" s="1849"/>
      <c r="E28" s="1304" t="s">
        <v>686</v>
      </c>
      <c r="F28" s="2346" t="s">
        <v>687</v>
      </c>
      <c r="G28" s="2347"/>
      <c r="H28" s="2348"/>
      <c r="I28" s="1305" t="str">
        <f t="array" ref="I28">IFERROR(INDEX('ESDS-Reference Table'!G1:G493,MATCH(1,('ESDS-Reference Table'!F1:F493=E28)*('ESDS-Reference Table'!H1:H493=F21)*('ESDS-Reference Table'!I1:I493=F23),0)),"Select Region and Activity")</f>
        <v>Select Region and Activity</v>
      </c>
      <c r="J28" s="1303"/>
      <c r="K28" s="1849"/>
      <c r="L28" s="1289"/>
      <c r="N28" s="396"/>
    </row>
    <row r="29" spans="2:16" x14ac:dyDescent="0.25">
      <c r="B29" s="1288"/>
      <c r="C29" s="1291"/>
      <c r="D29" s="1849"/>
      <c r="E29" s="1306">
        <v>1.2</v>
      </c>
      <c r="F29" s="2349" t="s">
        <v>688</v>
      </c>
      <c r="G29" s="2350"/>
      <c r="H29" s="2351"/>
      <c r="I29" s="1307" t="str">
        <f t="array" ref="I29">IFERROR(INDEX('ESDS-Reference Table'!G1:G493,MATCH(1,('ESDS-Reference Table'!F1:F493=E29)*('ESDS-Reference Table'!H1:H493=F21)*('ESDS-Reference Table'!I1:I493=F23),0)),"Select Region and Activity")</f>
        <v>Select Region and Activity</v>
      </c>
      <c r="J29" s="1303"/>
      <c r="K29" s="1849">
        <f>N(J29)</f>
        <v>0</v>
      </c>
      <c r="L29" s="1289"/>
    </row>
    <row r="30" spans="2:16" x14ac:dyDescent="0.25">
      <c r="B30" s="1288"/>
      <c r="C30" s="1291"/>
      <c r="D30" s="1849"/>
      <c r="E30" s="1308" t="s">
        <v>689</v>
      </c>
      <c r="F30" s="2346" t="s">
        <v>690</v>
      </c>
      <c r="G30" s="2347"/>
      <c r="H30" s="2348"/>
      <c r="I30" s="1307" t="str">
        <f t="array" ref="I30">IFERROR(INDEX('ESDS-Reference Table'!G1:G493,MATCH(1,('ESDS-Reference Table'!F1:F493=E30)*('ESDS-Reference Table'!H1:H493=F21)*('ESDS-Reference Table'!I1:I493=F23),0)),"Select Region and Activity")</f>
        <v>Select Region and Activity</v>
      </c>
      <c r="J30" s="1303"/>
      <c r="K30" s="1849"/>
      <c r="L30" s="1289"/>
    </row>
    <row r="31" spans="2:16" x14ac:dyDescent="0.25">
      <c r="B31" s="1288"/>
      <c r="C31" s="1291"/>
      <c r="D31" s="1849"/>
      <c r="E31" s="1306" t="s">
        <v>691</v>
      </c>
      <c r="F31" s="2352" t="s">
        <v>692</v>
      </c>
      <c r="G31" s="2350"/>
      <c r="H31" s="2351"/>
      <c r="I31" s="1307" t="str">
        <f t="array" ref="I31">IFERROR(INDEX('ESDS-Reference Table'!G1:G493,MATCH(1,('ESDS-Reference Table'!F1:F493=E31)*('ESDS-Reference Table'!H1:H493=F21)*('ESDS-Reference Table'!I1:I493=F23),0)),"Select Region and Activity")</f>
        <v>Select Region and Activity</v>
      </c>
      <c r="J31" s="1303"/>
      <c r="K31" s="1849"/>
      <c r="L31" s="1289"/>
    </row>
    <row r="32" spans="2:16" x14ac:dyDescent="0.25">
      <c r="B32" s="1288"/>
      <c r="C32" s="1291"/>
      <c r="D32" s="1849"/>
      <c r="E32" s="1306">
        <v>1.4</v>
      </c>
      <c r="F32" s="2353" t="s">
        <v>693</v>
      </c>
      <c r="G32" s="2354"/>
      <c r="H32" s="2355"/>
      <c r="I32" s="1307" t="str">
        <f t="array" ref="I32">IFERROR(INDEX('ESDS-Reference Table'!G1:G493,MATCH(1,('ESDS-Reference Table'!F1:F493=E32)*('ESDS-Reference Table'!H1:H493=F21)*('ESDS-Reference Table'!I1:I493=F23),0)),"Select Region and Activity")</f>
        <v>Select Region and Activity</v>
      </c>
      <c r="J32" s="1303"/>
      <c r="K32" s="1849"/>
      <c r="L32" s="1289"/>
    </row>
    <row r="33" spans="2:15" x14ac:dyDescent="0.25">
      <c r="B33" s="1288"/>
      <c r="C33" s="1291"/>
      <c r="D33" s="1849"/>
      <c r="E33" s="1309" t="s">
        <v>34</v>
      </c>
      <c r="F33" s="1310"/>
      <c r="G33" s="1311"/>
      <c r="H33" s="1311"/>
      <c r="I33" s="1312" t="s">
        <v>694</v>
      </c>
      <c r="J33" s="1313">
        <f>SUM(J27:J32)</f>
        <v>0</v>
      </c>
      <c r="K33" s="1849"/>
      <c r="L33" s="1289"/>
    </row>
    <row r="34" spans="2:15" s="1518" customFormat="1" ht="7.5" customHeight="1" x14ac:dyDescent="0.25">
      <c r="B34" s="1288"/>
      <c r="C34" s="1291"/>
      <c r="D34" s="1849"/>
      <c r="E34" s="1314"/>
      <c r="F34" s="1314"/>
      <c r="G34" s="1314"/>
      <c r="H34" s="1314"/>
      <c r="I34" s="1315"/>
      <c r="J34" s="1316"/>
      <c r="K34" s="1849"/>
      <c r="L34" s="1289"/>
      <c r="O34" s="1517"/>
    </row>
    <row r="35" spans="2:15" s="1518" customFormat="1" x14ac:dyDescent="0.25">
      <c r="B35" s="1288"/>
      <c r="C35" s="1291"/>
      <c r="D35" s="1849"/>
      <c r="E35" s="1317" t="s">
        <v>695</v>
      </c>
      <c r="F35" s="1317"/>
      <c r="G35" s="1317"/>
      <c r="H35" s="1317"/>
      <c r="I35" s="1315"/>
      <c r="J35" s="1849"/>
      <c r="K35" s="1849"/>
      <c r="L35" s="1289"/>
      <c r="O35" s="1517"/>
    </row>
    <row r="36" spans="2:15" x14ac:dyDescent="0.25">
      <c r="B36" s="1288"/>
      <c r="C36" s="1291"/>
      <c r="D36" s="1849"/>
      <c r="E36" s="1296" t="s">
        <v>680</v>
      </c>
      <c r="F36" s="1297" t="s">
        <v>681</v>
      </c>
      <c r="G36" s="1298"/>
      <c r="H36" s="1298"/>
      <c r="I36" s="1299" t="s">
        <v>682</v>
      </c>
      <c r="J36" s="1300" t="s">
        <v>683</v>
      </c>
      <c r="K36" s="1849"/>
      <c r="L36" s="1289"/>
    </row>
    <row r="37" spans="2:15" x14ac:dyDescent="0.25">
      <c r="B37" s="1288"/>
      <c r="C37" s="1291"/>
      <c r="D37" s="1849"/>
      <c r="E37" s="1318">
        <v>2.1</v>
      </c>
      <c r="F37" s="2356" t="s">
        <v>696</v>
      </c>
      <c r="G37" s="2357"/>
      <c r="H37" s="2358"/>
      <c r="I37" s="378" t="str">
        <f t="array" ref="I37">IFERROR(INDEX('ESDS-Reference Table'!G1:G493,MATCH(1,('ESDS-Reference Table'!F1:F493=E37)*('ESDS-Reference Table'!H1:H493=F21)*('ESDS-Reference Table'!I1:I493=F23),0)),"Select Region and Activity")</f>
        <v>Select Region and Activity</v>
      </c>
      <c r="J37" s="1303"/>
      <c r="K37" s="1849">
        <f t="shared" ref="K37:K47" si="0">N(J37)</f>
        <v>0</v>
      </c>
      <c r="L37" s="1289"/>
    </row>
    <row r="38" spans="2:15" x14ac:dyDescent="0.25">
      <c r="B38" s="1288"/>
      <c r="C38" s="1291"/>
      <c r="D38" s="1849"/>
      <c r="E38" s="1319">
        <v>2.2000000000000002</v>
      </c>
      <c r="F38" s="2340" t="s">
        <v>697</v>
      </c>
      <c r="G38" s="2341"/>
      <c r="H38" s="2342"/>
      <c r="I38" s="1320" t="str">
        <f t="array" ref="I38">IFERROR(INDEX('ESDS-Reference Table'!G1:G493,MATCH(1,('ESDS-Reference Table'!F1:F493=E38)*('ESDS-Reference Table'!H1:H493=F21)*('ESDS-Reference Table'!I1:I493=F23),0)),"Select Region and Activity")</f>
        <v>Select Region and Activity</v>
      </c>
      <c r="J38" s="1303"/>
      <c r="K38" s="1849">
        <f t="shared" si="0"/>
        <v>0</v>
      </c>
      <c r="L38" s="1321"/>
      <c r="N38" s="396"/>
    </row>
    <row r="39" spans="2:15" x14ac:dyDescent="0.25">
      <c r="B39" s="1288"/>
      <c r="C39" s="1291"/>
      <c r="D39" s="1849"/>
      <c r="E39" s="1319">
        <v>2.2999999999999998</v>
      </c>
      <c r="F39" s="2340" t="s">
        <v>698</v>
      </c>
      <c r="G39" s="2341"/>
      <c r="H39" s="2342"/>
      <c r="I39" s="1320" t="str">
        <f t="array" ref="I39">IFERROR(INDEX('ESDS-Reference Table'!G1:G493,MATCH(1,('ESDS-Reference Table'!F1:F493=E39)*('ESDS-Reference Table'!H1:H493=F21)*('ESDS-Reference Table'!I1:I493=F23),0)),"Select Region and Activity")</f>
        <v>Select Region and Activity</v>
      </c>
      <c r="J39" s="1303"/>
      <c r="K39" s="1849">
        <f t="shared" si="0"/>
        <v>0</v>
      </c>
      <c r="L39" s="1289"/>
    </row>
    <row r="40" spans="2:15" x14ac:dyDescent="0.25">
      <c r="B40" s="1288"/>
      <c r="C40" s="1291"/>
      <c r="D40" s="1849"/>
      <c r="E40" s="1319">
        <v>2.4</v>
      </c>
      <c r="F40" s="2340" t="s">
        <v>699</v>
      </c>
      <c r="G40" s="2341"/>
      <c r="H40" s="2342"/>
      <c r="I40" s="1320" t="str">
        <f t="array" ref="I40">IFERROR(INDEX('ESDS-Reference Table'!G1:G493,MATCH(1,('ESDS-Reference Table'!F1:F493=E40)*('ESDS-Reference Table'!H1:H493=F21)*('ESDS-Reference Table'!I1:I493=F23),0)),"Select Region and Activity")</f>
        <v>Select Region and Activity</v>
      </c>
      <c r="J40" s="1303"/>
      <c r="K40" s="1849">
        <f t="shared" si="0"/>
        <v>0</v>
      </c>
      <c r="L40" s="1289"/>
      <c r="N40" s="396"/>
    </row>
    <row r="41" spans="2:15" ht="15" customHeight="1" x14ac:dyDescent="0.25">
      <c r="B41" s="1288"/>
      <c r="C41" s="1291"/>
      <c r="D41" s="1849"/>
      <c r="E41" s="1319">
        <v>2.5</v>
      </c>
      <c r="F41" s="2340" t="s">
        <v>700</v>
      </c>
      <c r="G41" s="2341"/>
      <c r="H41" s="2342"/>
      <c r="I41" s="1320" t="str">
        <f t="array" ref="I41">IFERROR(INDEX('ESDS-Reference Table'!G1:G493,MATCH(1,('ESDS-Reference Table'!F1:F493=E41)*('ESDS-Reference Table'!H1:H493=F21)*('ESDS-Reference Table'!I1:I493=F23),0)),"Select Region and Activity")</f>
        <v>Select Region and Activity</v>
      </c>
      <c r="J41" s="1303"/>
      <c r="K41" s="1849">
        <f t="shared" si="0"/>
        <v>0</v>
      </c>
      <c r="L41" s="1289"/>
    </row>
    <row r="42" spans="2:15" x14ac:dyDescent="0.25">
      <c r="B42" s="1288"/>
      <c r="C42" s="1291"/>
      <c r="D42" s="1849"/>
      <c r="E42" s="1319">
        <v>2.6</v>
      </c>
      <c r="F42" s="2340" t="s">
        <v>701</v>
      </c>
      <c r="G42" s="2341"/>
      <c r="H42" s="2342"/>
      <c r="I42" s="1320" t="str">
        <f t="array" ref="I42">IFERROR(INDEX('ESDS-Reference Table'!G1:G493,MATCH(1,('ESDS-Reference Table'!F1:F493=E42)*('ESDS-Reference Table'!H1:H493=F21)*('ESDS-Reference Table'!I1:I493=F23),0)),"Select Region and Activity")</f>
        <v>Select Region and Activity</v>
      </c>
      <c r="J42" s="1303"/>
      <c r="K42" s="1849">
        <f t="shared" si="0"/>
        <v>0</v>
      </c>
      <c r="L42" s="1289"/>
    </row>
    <row r="43" spans="2:15" x14ac:dyDescent="0.25">
      <c r="B43" s="1288"/>
      <c r="C43" s="1291"/>
      <c r="D43" s="1849"/>
      <c r="E43" s="1322" t="s">
        <v>702</v>
      </c>
      <c r="F43" s="2340" t="s">
        <v>703</v>
      </c>
      <c r="G43" s="2341"/>
      <c r="H43" s="2342"/>
      <c r="I43" s="1320" t="str">
        <f t="array" ref="I43">IFERROR(INDEX('ESDS-Reference Table'!G1:G493,MATCH(1,('ESDS-Reference Table'!F1:F493=E43)*('ESDS-Reference Table'!H1:H493=F21)*('ESDS-Reference Table'!I1:I493=F23),0)),"Select Region and Activity")</f>
        <v>Select Region and Activity</v>
      </c>
      <c r="J43" s="1303"/>
      <c r="K43" s="1849">
        <f t="shared" si="0"/>
        <v>0</v>
      </c>
      <c r="L43" s="1289"/>
      <c r="N43" s="396"/>
    </row>
    <row r="44" spans="2:15" s="1521" customFormat="1" x14ac:dyDescent="0.25">
      <c r="B44" s="1323"/>
      <c r="C44" s="1291"/>
      <c r="D44" s="429"/>
      <c r="E44" s="1322" t="s">
        <v>704</v>
      </c>
      <c r="F44" s="2360" t="s">
        <v>705</v>
      </c>
      <c r="G44" s="2361"/>
      <c r="H44" s="2362"/>
      <c r="I44" s="1320" t="str">
        <f t="array" ref="I44">IFERROR(INDEX('ESDS-Reference Table'!G1:G493,MATCH(1,('ESDS-Reference Table'!F1:F493=E44)*('ESDS-Reference Table'!H1:H493=F21)*('ESDS-Reference Table'!I1:I493=F23),0)),"Select Region and Activity")</f>
        <v>Select Region and Activity</v>
      </c>
      <c r="J44" s="1303"/>
      <c r="K44" s="1849">
        <f t="shared" si="0"/>
        <v>0</v>
      </c>
      <c r="L44" s="1324"/>
      <c r="N44" s="396"/>
    </row>
    <row r="45" spans="2:15" x14ac:dyDescent="0.25">
      <c r="B45" s="1288"/>
      <c r="C45" s="1291"/>
      <c r="D45" s="1849"/>
      <c r="E45" s="1319">
        <v>2.8</v>
      </c>
      <c r="F45" s="2340" t="s">
        <v>706</v>
      </c>
      <c r="G45" s="2341"/>
      <c r="H45" s="2342"/>
      <c r="I45" s="1320" t="str">
        <f t="array" ref="I45">IFERROR(INDEX('ESDS-Reference Table'!G1:G493,MATCH(1,('ESDS-Reference Table'!F1:F493=E45)*('ESDS-Reference Table'!H1:H493=F21)*('ESDS-Reference Table'!I1:I493=F23),0)),"Select Region and Activity")</f>
        <v>Select Region and Activity</v>
      </c>
      <c r="J45" s="1303"/>
      <c r="K45" s="1849">
        <f t="shared" si="0"/>
        <v>0</v>
      </c>
      <c r="L45" s="1289"/>
    </row>
    <row r="46" spans="2:15" x14ac:dyDescent="0.25">
      <c r="B46" s="1288"/>
      <c r="C46" s="1291"/>
      <c r="D46" s="1849"/>
      <c r="E46" s="1319">
        <v>2.9</v>
      </c>
      <c r="F46" s="2340" t="s">
        <v>707</v>
      </c>
      <c r="G46" s="2341"/>
      <c r="H46" s="2342"/>
      <c r="I46" s="1320" t="str">
        <f t="array" ref="I46">IFERROR(INDEX('ESDS-Reference Table'!G1:G493,MATCH(1,('ESDS-Reference Table'!F1:F493=E46)*('ESDS-Reference Table'!H1:H493=F21)*('ESDS-Reference Table'!I1:I493=F23),0)),"Select Region and Activity")</f>
        <v>Select Region and Activity</v>
      </c>
      <c r="J46" s="1303"/>
      <c r="K46" s="1849">
        <f t="shared" si="0"/>
        <v>0</v>
      </c>
      <c r="L46" s="1289"/>
    </row>
    <row r="47" spans="2:15" x14ac:dyDescent="0.25">
      <c r="B47" s="1288"/>
      <c r="C47" s="1291"/>
      <c r="D47" s="1849"/>
      <c r="E47" s="1325" t="s">
        <v>708</v>
      </c>
      <c r="F47" s="2363" t="s">
        <v>709</v>
      </c>
      <c r="G47" s="2364"/>
      <c r="H47" s="2365"/>
      <c r="I47" s="378" t="str">
        <f t="array" ref="I47">IFERROR(INDEX('ESDS-Reference Table'!G1:G493,MATCH(1,('ESDS-Reference Table'!F1:F493=E47)*('ESDS-Reference Table'!H1:H493=F21)*('ESDS-Reference Table'!I1:I493=F23),0)),"Select Region and Activity")</f>
        <v>Select Region and Activity</v>
      </c>
      <c r="J47" s="1303"/>
      <c r="K47" s="1849">
        <f t="shared" si="0"/>
        <v>0</v>
      </c>
      <c r="L47" s="1289"/>
    </row>
    <row r="48" spans="2:15" x14ac:dyDescent="0.25">
      <c r="B48" s="1288"/>
      <c r="C48" s="1291"/>
      <c r="D48" s="1849"/>
      <c r="E48" s="1309" t="s">
        <v>34</v>
      </c>
      <c r="F48" s="1310"/>
      <c r="G48" s="1311"/>
      <c r="H48" s="1311"/>
      <c r="I48" s="1312" t="s">
        <v>710</v>
      </c>
      <c r="J48" s="1313">
        <f>SUM(J37:J47)</f>
        <v>0</v>
      </c>
      <c r="K48" s="1849"/>
      <c r="L48" s="1289"/>
    </row>
    <row r="49" spans="1:15" s="1518" customFormat="1" ht="7.5" customHeight="1" x14ac:dyDescent="0.25">
      <c r="B49" s="1288"/>
      <c r="C49" s="1291"/>
      <c r="D49" s="1849"/>
      <c r="E49" s="1314"/>
      <c r="F49" s="1316"/>
      <c r="G49" s="1314"/>
      <c r="H49" s="1314"/>
      <c r="I49" s="1315"/>
      <c r="J49" s="1316"/>
      <c r="K49" s="1849"/>
      <c r="L49" s="1289"/>
      <c r="O49" s="1517"/>
    </row>
    <row r="50" spans="1:15" s="1518" customFormat="1" x14ac:dyDescent="0.25">
      <c r="B50" s="1288"/>
      <c r="C50" s="1291"/>
      <c r="D50" s="1849"/>
      <c r="E50" s="1317" t="s">
        <v>711</v>
      </c>
      <c r="F50" s="1849"/>
      <c r="G50" s="1317"/>
      <c r="H50" s="1317"/>
      <c r="I50" s="1315"/>
      <c r="J50" s="1849"/>
      <c r="K50" s="1849"/>
      <c r="L50" s="1289"/>
      <c r="O50" s="1517"/>
    </row>
    <row r="51" spans="1:15" x14ac:dyDescent="0.25">
      <c r="B51" s="1288"/>
      <c r="C51" s="1291"/>
      <c r="D51" s="1849"/>
      <c r="E51" s="1296" t="s">
        <v>680</v>
      </c>
      <c r="F51" s="1297" t="s">
        <v>681</v>
      </c>
      <c r="G51" s="1298"/>
      <c r="H51" s="1298"/>
      <c r="I51" s="1299" t="s">
        <v>682</v>
      </c>
      <c r="J51" s="1300" t="s">
        <v>683</v>
      </c>
      <c r="K51" s="1849"/>
      <c r="L51" s="1289"/>
    </row>
    <row r="52" spans="1:15" x14ac:dyDescent="0.25">
      <c r="B52" s="1288"/>
      <c r="C52" s="1291"/>
      <c r="D52" s="1849"/>
      <c r="E52" s="1326">
        <v>3.1</v>
      </c>
      <c r="F52" s="2366" t="s">
        <v>712</v>
      </c>
      <c r="G52" s="2357"/>
      <c r="H52" s="2358"/>
      <c r="I52" s="1327" t="str">
        <f t="array" ref="I52">IFERROR(INDEX('ESDS-Reference Table'!G1:G493,MATCH(1,('ESDS-Reference Table'!F1:F493=E52)*('ESDS-Reference Table'!H1:H493=F21)*('ESDS-Reference Table'!I1:I493=F23),0)),"Select Region and Activity")</f>
        <v>Select Region and Activity</v>
      </c>
      <c r="J52" s="1303"/>
      <c r="K52" s="1849">
        <f t="shared" ref="K52:K59" si="1">N(J52)</f>
        <v>0</v>
      </c>
      <c r="L52" s="1289"/>
    </row>
    <row r="53" spans="1:15" x14ac:dyDescent="0.25">
      <c r="B53" s="1288"/>
      <c r="C53" s="1291"/>
      <c r="D53" s="1849"/>
      <c r="E53" s="1328">
        <v>3.2</v>
      </c>
      <c r="F53" s="2359" t="s">
        <v>713</v>
      </c>
      <c r="G53" s="2341"/>
      <c r="H53" s="2342"/>
      <c r="I53" s="1307" t="str">
        <f t="array" ref="I53">IFERROR(INDEX('ESDS-Reference Table'!G1:G493,MATCH(1,('ESDS-Reference Table'!F1:F493=E53)*('ESDS-Reference Table'!H1:H493=F21)*('ESDS-Reference Table'!I1:I493=F23),0)),"Select Region and Activity")</f>
        <v>Select Region and Activity</v>
      </c>
      <c r="J53" s="1303"/>
      <c r="K53" s="1849">
        <f t="shared" si="1"/>
        <v>0</v>
      </c>
      <c r="L53" s="1289"/>
    </row>
    <row r="54" spans="1:15" ht="15" customHeight="1" x14ac:dyDescent="0.25">
      <c r="B54" s="1288"/>
      <c r="C54" s="1291"/>
      <c r="D54" s="1849"/>
      <c r="E54" s="1319" t="s">
        <v>714</v>
      </c>
      <c r="F54" s="2359" t="s">
        <v>392</v>
      </c>
      <c r="G54" s="2341"/>
      <c r="H54" s="2342"/>
      <c r="I54" s="1307" t="str">
        <f t="array" ref="I54">IFERROR(INDEX('ESDS-Reference Table'!G1:G493,MATCH(1,('ESDS-Reference Table'!F1:F493=E54)*('ESDS-Reference Table'!H1:H493=F21)*('ESDS-Reference Table'!I1:I493=F23),0)),"Select Region and Activity")</f>
        <v>Select Region and Activity</v>
      </c>
      <c r="J54" s="1303"/>
      <c r="K54" s="1849">
        <f t="shared" si="1"/>
        <v>0</v>
      </c>
      <c r="L54" s="1289"/>
    </row>
    <row r="55" spans="1:15" x14ac:dyDescent="0.25">
      <c r="B55" s="1288"/>
      <c r="C55" s="1291"/>
      <c r="D55" s="1849"/>
      <c r="E55" s="1319" t="s">
        <v>715</v>
      </c>
      <c r="F55" s="2359" t="s">
        <v>392</v>
      </c>
      <c r="G55" s="2341"/>
      <c r="H55" s="2342"/>
      <c r="I55" s="1307" t="str">
        <f t="array" ref="I55">IFERROR(INDEX('ESDS-Reference Table'!G1:G493,MATCH(1,('ESDS-Reference Table'!F1:F493=E55)*('ESDS-Reference Table'!H1:H493=F21)*('ESDS-Reference Table'!I1:I493=F23),0)),"Select Region and Activity")</f>
        <v>Select Region and Activity</v>
      </c>
      <c r="J55" s="1303"/>
      <c r="K55" s="1849">
        <f t="shared" si="1"/>
        <v>0</v>
      </c>
      <c r="L55" s="1289"/>
    </row>
    <row r="56" spans="1:15" x14ac:dyDescent="0.25">
      <c r="B56" s="1288"/>
      <c r="C56" s="1291"/>
      <c r="D56" s="1849"/>
      <c r="E56" s="1319" t="s">
        <v>716</v>
      </c>
      <c r="F56" s="2359" t="s">
        <v>717</v>
      </c>
      <c r="G56" s="2341"/>
      <c r="H56" s="2342"/>
      <c r="I56" s="1307" t="str">
        <f t="array" ref="I56">IFERROR(INDEX('ESDS-Reference Table'!G1:G493,MATCH(1,('ESDS-Reference Table'!F1:F493=E56)*('ESDS-Reference Table'!H1:H493=F21)*('ESDS-Reference Table'!I1:I493=F23),0)),"Select Region and Activity")</f>
        <v>Select Region and Activity</v>
      </c>
      <c r="J56" s="1303"/>
      <c r="K56" s="1849">
        <f t="shared" si="1"/>
        <v>0</v>
      </c>
      <c r="L56" s="1289"/>
    </row>
    <row r="57" spans="1:15" ht="15" customHeight="1" x14ac:dyDescent="0.25">
      <c r="B57" s="1288"/>
      <c r="C57" s="1291"/>
      <c r="D57" s="1849"/>
      <c r="E57" s="1328">
        <v>3.4</v>
      </c>
      <c r="F57" s="2359" t="s">
        <v>718</v>
      </c>
      <c r="G57" s="2341"/>
      <c r="H57" s="2342"/>
      <c r="I57" s="1307" t="str">
        <f t="array" ref="I57">IFERROR(INDEX('ESDS-Reference Table'!G1:G493,MATCH(1,('ESDS-Reference Table'!F1:F493=E57)*('ESDS-Reference Table'!H1:H493=F21)*('ESDS-Reference Table'!I1:I493=F23),0)),"Select Region and Activity")</f>
        <v>Select Region and Activity</v>
      </c>
      <c r="J57" s="1303"/>
      <c r="K57" s="1849">
        <f t="shared" si="1"/>
        <v>0</v>
      </c>
      <c r="L57" s="1289"/>
    </row>
    <row r="58" spans="1:15" x14ac:dyDescent="0.25">
      <c r="B58" s="1288"/>
      <c r="C58" s="1291"/>
      <c r="D58" s="1849"/>
      <c r="E58" s="1328">
        <v>3.5</v>
      </c>
      <c r="F58" s="2359" t="s">
        <v>719</v>
      </c>
      <c r="G58" s="2341"/>
      <c r="H58" s="2342"/>
      <c r="I58" s="1307" t="str">
        <f t="array" ref="I58">IFERROR(INDEX('ESDS-Reference Table'!G1:G493,MATCH(1,('ESDS-Reference Table'!F1:F493=E58)*('ESDS-Reference Table'!H1:H493=F21)*('ESDS-Reference Table'!I1:I493=F23),0)),"Select Region and Activity")</f>
        <v>Select Region and Activity</v>
      </c>
      <c r="J58" s="1303"/>
      <c r="K58" s="1849">
        <f t="shared" si="1"/>
        <v>0</v>
      </c>
      <c r="L58" s="1289"/>
    </row>
    <row r="59" spans="1:15" x14ac:dyDescent="0.25">
      <c r="B59" s="1288"/>
      <c r="C59" s="1291"/>
      <c r="D59" s="1849"/>
      <c r="E59" s="1328">
        <v>3.6</v>
      </c>
      <c r="F59" s="2363" t="s">
        <v>720</v>
      </c>
      <c r="G59" s="2364"/>
      <c r="H59" s="2365"/>
      <c r="I59" s="1329" t="str">
        <f t="array" ref="I59">IFERROR(INDEX('ESDS-Reference Table'!G1:G493,MATCH(1,('ESDS-Reference Table'!F1:F493=E59)*('ESDS-Reference Table'!H1:H493=F21)*('ESDS-Reference Table'!I1:I493=F23),0)),"Select Region and Activity")</f>
        <v>Select Region and Activity</v>
      </c>
      <c r="J59" s="1303"/>
      <c r="K59" s="1849">
        <f t="shared" si="1"/>
        <v>0</v>
      </c>
      <c r="L59" s="1289"/>
    </row>
    <row r="60" spans="1:15" x14ac:dyDescent="0.25">
      <c r="A60" s="1518"/>
      <c r="B60" s="1288"/>
      <c r="C60" s="1291"/>
      <c r="D60" s="1849"/>
      <c r="E60" s="1309" t="s">
        <v>34</v>
      </c>
      <c r="F60" s="1310"/>
      <c r="G60" s="1311"/>
      <c r="H60" s="1311"/>
      <c r="I60" s="1312" t="s">
        <v>721</v>
      </c>
      <c r="J60" s="1313">
        <f>SUM(J52:J59)</f>
        <v>0</v>
      </c>
      <c r="K60" s="1849"/>
      <c r="L60" s="1289"/>
    </row>
    <row r="61" spans="1:15" ht="7.5" customHeight="1" x14ac:dyDescent="0.25">
      <c r="A61" s="1518"/>
      <c r="B61" s="1288"/>
      <c r="C61" s="1291"/>
      <c r="D61" s="1849"/>
      <c r="E61" s="1314"/>
      <c r="F61" s="1316"/>
      <c r="G61" s="1314"/>
      <c r="H61" s="1314"/>
      <c r="I61" s="1315"/>
      <c r="J61" s="1316"/>
      <c r="K61" s="1849"/>
      <c r="L61" s="1289"/>
    </row>
    <row r="62" spans="1:15" x14ac:dyDescent="0.25">
      <c r="A62" s="1518"/>
      <c r="B62" s="1288"/>
      <c r="C62" s="1291"/>
      <c r="D62" s="1849"/>
      <c r="E62" s="1317" t="s">
        <v>722</v>
      </c>
      <c r="F62" s="1849"/>
      <c r="G62" s="1317"/>
      <c r="H62" s="1317"/>
      <c r="I62" s="1315"/>
      <c r="J62" s="1849"/>
      <c r="K62" s="1849"/>
      <c r="L62" s="1289"/>
    </row>
    <row r="63" spans="1:15" x14ac:dyDescent="0.25">
      <c r="A63" s="1518"/>
      <c r="B63" s="1288"/>
      <c r="C63" s="1291"/>
      <c r="D63" s="1849"/>
      <c r="E63" s="1330" t="s">
        <v>680</v>
      </c>
      <c r="F63" s="1331" t="s">
        <v>681</v>
      </c>
      <c r="G63" s="1332"/>
      <c r="H63" s="1332"/>
      <c r="I63" s="1333" t="s">
        <v>682</v>
      </c>
      <c r="J63" s="1334" t="s">
        <v>683</v>
      </c>
      <c r="K63" s="1849"/>
      <c r="L63" s="1289"/>
    </row>
    <row r="64" spans="1:15" x14ac:dyDescent="0.25">
      <c r="A64" s="1518"/>
      <c r="B64" s="1288"/>
      <c r="C64" s="1291"/>
      <c r="D64" s="1849"/>
      <c r="E64" s="1335" t="s">
        <v>723</v>
      </c>
      <c r="F64" s="2369" t="s">
        <v>724</v>
      </c>
      <c r="G64" s="2344"/>
      <c r="H64" s="2345"/>
      <c r="I64" s="1336" t="str">
        <f t="array" ref="I64">IFERROR(INDEX('ESDS-Reference Table'!G1:G493,MATCH(1,('ESDS-Reference Table'!F1:F493=E64)*('ESDS-Reference Table'!H1:H493=F21)*('ESDS-Reference Table'!I1:I493=F23),0)),"Select Region and Activity")</f>
        <v>Select Region and Activity</v>
      </c>
      <c r="J64" s="1303"/>
      <c r="K64" s="1849">
        <f>N(J64)</f>
        <v>0</v>
      </c>
      <c r="L64" s="1289"/>
    </row>
    <row r="65" spans="1:14" x14ac:dyDescent="0.25">
      <c r="A65" s="1518"/>
      <c r="B65" s="1288"/>
      <c r="C65" s="1291"/>
      <c r="D65" s="1849"/>
      <c r="E65" s="1337" t="s">
        <v>725</v>
      </c>
      <c r="F65" s="1338" t="s">
        <v>726</v>
      </c>
      <c r="G65" s="1851"/>
      <c r="H65" s="1852"/>
      <c r="I65" s="1339" t="str">
        <f t="array" ref="I65">IFERROR(INDEX('ESDS-Reference Table'!G1:G493,MATCH(1,('ESDS-Reference Table'!F1:F493=E65)*('ESDS-Reference Table'!H1:H493=F21)*('ESDS-Reference Table'!I1:I493=F23),0)),"Select Region and Activity")</f>
        <v>Select Region and Activity</v>
      </c>
      <c r="J65" s="1303"/>
      <c r="K65" s="1849"/>
      <c r="L65" s="1289"/>
      <c r="N65" s="396"/>
    </row>
    <row r="66" spans="1:14" x14ac:dyDescent="0.25">
      <c r="A66" s="1518"/>
      <c r="B66" s="1288"/>
      <c r="C66" s="1291"/>
      <c r="D66" s="1849"/>
      <c r="E66" s="1340">
        <v>4.2</v>
      </c>
      <c r="F66" s="2370" t="s">
        <v>727</v>
      </c>
      <c r="G66" s="2341"/>
      <c r="H66" s="2342"/>
      <c r="I66" s="1320" t="str">
        <f t="array" ref="I66">IFERROR(INDEX('ESDS-Reference Table'!G1:G493,MATCH(1,('ESDS-Reference Table'!F1:F493=E66)*('ESDS-Reference Table'!H1:H493=F21)*('ESDS-Reference Table'!I1:I493=F23),0)),"Select Region and Activity")</f>
        <v>Select Region and Activity</v>
      </c>
      <c r="J66" s="1303"/>
      <c r="K66" s="1849">
        <f>N(J66)</f>
        <v>0</v>
      </c>
      <c r="L66" s="1289"/>
      <c r="N66" s="396"/>
    </row>
    <row r="67" spans="1:14" x14ac:dyDescent="0.25">
      <c r="A67" s="1518"/>
      <c r="B67" s="1288"/>
      <c r="C67" s="1291"/>
      <c r="D67" s="1849"/>
      <c r="E67" s="1340">
        <v>4.3</v>
      </c>
      <c r="F67" s="2371" t="s">
        <v>728</v>
      </c>
      <c r="G67" s="2372"/>
      <c r="H67" s="2373"/>
      <c r="I67" s="1341" t="str">
        <f t="array" ref="I67">IFERROR(INDEX('ESDS-Reference Table'!G1:G493,MATCH(1,('ESDS-Reference Table'!F1:F493=E67)*('ESDS-Reference Table'!H1:H493=F21)*('ESDS-Reference Table'!I1:I493=F23),0)),"Select Region and Activity")</f>
        <v>Select Region and Activity</v>
      </c>
      <c r="J67" s="1303"/>
      <c r="K67" s="1849">
        <f>N(J67)</f>
        <v>0</v>
      </c>
      <c r="L67" s="1289"/>
      <c r="N67" s="396"/>
    </row>
    <row r="68" spans="1:14" x14ac:dyDescent="0.25">
      <c r="A68" s="1518"/>
      <c r="B68" s="1288"/>
      <c r="C68" s="1291"/>
      <c r="D68" s="1849"/>
      <c r="E68" s="1342">
        <v>4.4000000000000004</v>
      </c>
      <c r="F68" s="1343" t="s">
        <v>729</v>
      </c>
      <c r="G68" s="1344"/>
      <c r="H68" s="1344"/>
      <c r="I68" s="1345" t="str">
        <f t="array" ref="I68">IFERROR(INDEX('ESDS-Reference Table'!G1:G493,MATCH(1,('ESDS-Reference Table'!F1:F493=E68)*('ESDS-Reference Table'!H1:H493=F21)*('ESDS-Reference Table'!I1:I493=F23),0)),"Select Region and Activity")</f>
        <v>Select Region and Activity</v>
      </c>
      <c r="J68" s="1303"/>
      <c r="K68" s="1849"/>
      <c r="L68" s="1289"/>
    </row>
    <row r="69" spans="1:14" x14ac:dyDescent="0.25">
      <c r="A69" s="1518"/>
      <c r="B69" s="1346"/>
      <c r="C69" s="1291"/>
      <c r="D69" s="418"/>
      <c r="E69" s="1309" t="s">
        <v>34</v>
      </c>
      <c r="F69" s="1310"/>
      <c r="G69" s="1311"/>
      <c r="H69" s="1311"/>
      <c r="I69" s="1312" t="s">
        <v>730</v>
      </c>
      <c r="J69" s="1313">
        <f>SUM(J64:J68)</f>
        <v>0</v>
      </c>
      <c r="K69" s="1849"/>
      <c r="L69" s="1289"/>
    </row>
    <row r="70" spans="1:14" ht="7.5" customHeight="1" thickBot="1" x14ac:dyDescent="0.3">
      <c r="A70" s="1518"/>
      <c r="B70" s="1347"/>
      <c r="C70" s="1348"/>
      <c r="D70" s="1348"/>
      <c r="E70" s="1349"/>
      <c r="F70" s="1350"/>
      <c r="G70" s="1349"/>
      <c r="H70" s="1349"/>
      <c r="I70" s="1351"/>
      <c r="J70" s="1350"/>
      <c r="K70" s="1352"/>
      <c r="L70" s="1353"/>
    </row>
    <row r="71" spans="1:14" ht="7.5" customHeight="1" x14ac:dyDescent="0.25">
      <c r="A71" s="1518"/>
      <c r="B71" s="1354"/>
      <c r="C71" s="1355"/>
      <c r="D71" s="1355"/>
      <c r="E71" s="1356"/>
      <c r="F71" s="1286"/>
      <c r="G71" s="1356"/>
      <c r="H71" s="1356"/>
      <c r="I71" s="1357"/>
      <c r="J71" s="1286"/>
      <c r="K71" s="1286"/>
      <c r="L71" s="1287"/>
      <c r="M71" s="1518"/>
    </row>
    <row r="72" spans="1:14" x14ac:dyDescent="0.25">
      <c r="A72" s="1518"/>
      <c r="B72" s="1346"/>
      <c r="C72" s="1291"/>
      <c r="D72" s="418"/>
      <c r="E72" s="1358" t="s">
        <v>731</v>
      </c>
      <c r="F72" s="1849"/>
      <c r="G72" s="1358"/>
      <c r="H72" s="1358"/>
      <c r="I72" s="1315"/>
      <c r="J72" s="1849"/>
      <c r="K72" s="1849"/>
      <c r="L72" s="1289"/>
    </row>
    <row r="73" spans="1:14" x14ac:dyDescent="0.25">
      <c r="A73" s="1518"/>
      <c r="B73" s="1288"/>
      <c r="C73" s="1291"/>
      <c r="D73" s="1849"/>
      <c r="E73" s="1296" t="s">
        <v>680</v>
      </c>
      <c r="F73" s="1297" t="s">
        <v>681</v>
      </c>
      <c r="G73" s="1298"/>
      <c r="H73" s="1298"/>
      <c r="I73" s="1299" t="s">
        <v>682</v>
      </c>
      <c r="J73" s="1300" t="s">
        <v>683</v>
      </c>
      <c r="K73" s="1849"/>
      <c r="L73" s="1289"/>
    </row>
    <row r="74" spans="1:14" x14ac:dyDescent="0.25">
      <c r="A74" s="1518"/>
      <c r="B74" s="1288"/>
      <c r="C74" s="1291"/>
      <c r="D74" s="1849"/>
      <c r="E74" s="1359" t="s">
        <v>732</v>
      </c>
      <c r="F74" s="2374" t="s">
        <v>733</v>
      </c>
      <c r="G74" s="2375"/>
      <c r="H74" s="2376"/>
      <c r="I74" s="378" t="str">
        <f t="array" ref="I74">IFERROR(INDEX('ESDS-Reference Table'!G1:G493,MATCH(1,('ESDS-Reference Table'!F1:F493=E74)*('ESDS-Reference Table'!H1:H493=F21)*('ESDS-Reference Table'!I1:I493=F23),0)),"Select Region and Activity")</f>
        <v>Select Region and Activity</v>
      </c>
      <c r="J74" s="1303"/>
      <c r="K74" s="1849">
        <f t="shared" ref="K74:K91" si="2">N(J74)</f>
        <v>0</v>
      </c>
      <c r="L74" s="1289"/>
      <c r="N74" s="396"/>
    </row>
    <row r="75" spans="1:14" x14ac:dyDescent="0.25">
      <c r="A75" s="1518"/>
      <c r="B75" s="1288"/>
      <c r="C75" s="1291"/>
      <c r="D75" s="1849"/>
      <c r="E75" s="1360" t="s">
        <v>734</v>
      </c>
      <c r="F75" s="2370" t="s">
        <v>735</v>
      </c>
      <c r="G75" s="2377"/>
      <c r="H75" s="2378"/>
      <c r="I75" s="1361" t="str">
        <f t="array" ref="I75">IFERROR(INDEX('ESDS-Reference Table'!G1:G493,MATCH(1,('ESDS-Reference Table'!F1:F493=E75)*('ESDS-Reference Table'!H1:H493=F21)*('ESDS-Reference Table'!I1:I493=F23),0)),"Select Region and Activity")</f>
        <v>Select Region and Activity</v>
      </c>
      <c r="J75" s="1303"/>
      <c r="K75" s="1849">
        <f t="shared" si="2"/>
        <v>0</v>
      </c>
      <c r="L75" s="1321"/>
      <c r="N75" s="396"/>
    </row>
    <row r="76" spans="1:14" ht="15" customHeight="1" x14ac:dyDescent="0.25">
      <c r="B76" s="1288"/>
      <c r="C76" s="1291"/>
      <c r="D76" s="1849"/>
      <c r="E76" s="1360" t="s">
        <v>736</v>
      </c>
      <c r="F76" s="2370" t="s">
        <v>737</v>
      </c>
      <c r="G76" s="2377"/>
      <c r="H76" s="2378"/>
      <c r="I76" s="1361" t="str">
        <f t="array" ref="I76">IFERROR(INDEX('ESDS-Reference Table'!G1:G493,MATCH(1,('ESDS-Reference Table'!F1:F493=E76)*('ESDS-Reference Table'!H1:H493=F21)*('ESDS-Reference Table'!I1:I493=F23),0)),"Select Region and Activity")</f>
        <v>Select Region and Activity</v>
      </c>
      <c r="J76" s="1303"/>
      <c r="K76" s="1849">
        <f t="shared" si="2"/>
        <v>0</v>
      </c>
      <c r="L76" s="1289"/>
      <c r="N76" s="396"/>
    </row>
    <row r="77" spans="1:14" ht="15" customHeight="1" x14ac:dyDescent="0.25">
      <c r="B77" s="1288"/>
      <c r="C77" s="1291"/>
      <c r="D77" s="1849"/>
      <c r="E77" s="1360" t="s">
        <v>738</v>
      </c>
      <c r="F77" s="2370" t="s">
        <v>739</v>
      </c>
      <c r="G77" s="2377"/>
      <c r="H77" s="2378"/>
      <c r="I77" s="1361" t="str">
        <f t="array" ref="I77">IFERROR(INDEX('ESDS-Reference Table'!G1:G493,MATCH(1,('ESDS-Reference Table'!F1:F493=E77)*('ESDS-Reference Table'!H1:H493=F21)*('ESDS-Reference Table'!I1:I493=F23),0)),"Select Region and Activity")</f>
        <v>Select Region and Activity</v>
      </c>
      <c r="J77" s="1303"/>
      <c r="K77" s="1849">
        <f t="shared" si="2"/>
        <v>0</v>
      </c>
      <c r="L77" s="1289"/>
      <c r="N77" s="396"/>
    </row>
    <row r="78" spans="1:14" x14ac:dyDescent="0.25">
      <c r="B78" s="1288"/>
      <c r="C78" s="1291"/>
      <c r="D78" s="1849"/>
      <c r="E78" s="1362">
        <v>5.3</v>
      </c>
      <c r="F78" s="2370" t="s">
        <v>740</v>
      </c>
      <c r="G78" s="2341"/>
      <c r="H78" s="2368"/>
      <c r="I78" s="1361" t="str">
        <f t="array" ref="I78">IFERROR(INDEX('ESDS-Reference Table'!G1:G493,MATCH(1,('ESDS-Reference Table'!F1:F493=E78)*('ESDS-Reference Table'!H1:H493=F21)*('ESDS-Reference Table'!I1:I493=F23),0)),"Select Region and Activity")</f>
        <v>Select Region and Activity</v>
      </c>
      <c r="J78" s="1303"/>
      <c r="K78" s="1849">
        <f t="shared" si="2"/>
        <v>0</v>
      </c>
      <c r="L78" s="1289"/>
    </row>
    <row r="79" spans="1:14" ht="15" customHeight="1" x14ac:dyDescent="0.25">
      <c r="B79" s="1288"/>
      <c r="C79" s="1291"/>
      <c r="D79" s="1849"/>
      <c r="E79" s="1362">
        <v>5.4</v>
      </c>
      <c r="F79" s="2367" t="s">
        <v>741</v>
      </c>
      <c r="G79" s="2341"/>
      <c r="H79" s="2368"/>
      <c r="I79" s="1361" t="str">
        <f t="array" ref="I79">IFERROR(INDEX('ESDS-Reference Table'!G1:G493,MATCH(1,('ESDS-Reference Table'!F1:F493=E79)*('ESDS-Reference Table'!H1:H493=F21)*('ESDS-Reference Table'!I1:I493=F23),0)),"Select Region and Activity")</f>
        <v>Select Region and Activity</v>
      </c>
      <c r="J79" s="1303"/>
      <c r="K79" s="1849">
        <f t="shared" si="2"/>
        <v>0</v>
      </c>
      <c r="L79" s="1289"/>
    </row>
    <row r="80" spans="1:14" x14ac:dyDescent="0.25">
      <c r="B80" s="1288"/>
      <c r="C80" s="1291"/>
      <c r="D80" s="1849"/>
      <c r="E80" s="1362">
        <v>5.5</v>
      </c>
      <c r="F80" s="2367" t="s">
        <v>742</v>
      </c>
      <c r="G80" s="2341"/>
      <c r="H80" s="2368"/>
      <c r="I80" s="1361" t="str">
        <f t="array" ref="I80">IFERROR(INDEX('ESDS-Reference Table'!G1:G493,MATCH(1,('ESDS-Reference Table'!F1:F493=E80)*('ESDS-Reference Table'!H1:H493=F21)*('ESDS-Reference Table'!I1:I493=F23),0)),"Select Region and Activity")</f>
        <v>Select Region and Activity</v>
      </c>
      <c r="J80" s="1303"/>
      <c r="K80" s="1849">
        <f t="shared" si="2"/>
        <v>0</v>
      </c>
      <c r="L80" s="1289"/>
    </row>
    <row r="81" spans="2:15" x14ac:dyDescent="0.25">
      <c r="B81" s="1288"/>
      <c r="C81" s="1291"/>
      <c r="D81" s="1849"/>
      <c r="E81" s="1362">
        <v>5.6</v>
      </c>
      <c r="F81" s="2367" t="s">
        <v>743</v>
      </c>
      <c r="G81" s="2341"/>
      <c r="H81" s="2368"/>
      <c r="I81" s="1361" t="str">
        <f t="array" ref="I81">IFERROR(INDEX('ESDS-Reference Table'!G1:G493,MATCH(1,('ESDS-Reference Table'!F1:F493=E81)*('ESDS-Reference Table'!H1:H493=F21)*('ESDS-Reference Table'!I1:I493=F23),0)),"Select Region and Activity")</f>
        <v>Select Region and Activity</v>
      </c>
      <c r="J81" s="1303"/>
      <c r="K81" s="1849">
        <f t="shared" si="2"/>
        <v>0</v>
      </c>
      <c r="L81" s="1289"/>
    </row>
    <row r="82" spans="2:15" x14ac:dyDescent="0.25">
      <c r="B82" s="1288"/>
      <c r="C82" s="1291"/>
      <c r="D82" s="1849"/>
      <c r="E82" s="1360" t="s">
        <v>744</v>
      </c>
      <c r="F82" s="2370" t="s">
        <v>745</v>
      </c>
      <c r="G82" s="2377"/>
      <c r="H82" s="2378"/>
      <c r="I82" s="1361" t="str">
        <f t="array" ref="I82">IFERROR(INDEX('ESDS-Reference Table'!G1:G493,MATCH(1,('ESDS-Reference Table'!F1:F493=E82)*('ESDS-Reference Table'!H1:H493=F21)*('ESDS-Reference Table'!I1:I493=F23),0)),"Select Region and Activity")</f>
        <v>Select Region and Activity</v>
      </c>
      <c r="J82" s="1303"/>
      <c r="K82" s="1849">
        <f t="shared" si="2"/>
        <v>0</v>
      </c>
      <c r="L82" s="1289"/>
      <c r="N82" s="396"/>
    </row>
    <row r="83" spans="2:15" x14ac:dyDescent="0.25">
      <c r="B83" s="1288"/>
      <c r="C83" s="1291"/>
      <c r="D83" s="1849"/>
      <c r="E83" s="1360" t="s">
        <v>746</v>
      </c>
      <c r="F83" s="2379" t="s">
        <v>747</v>
      </c>
      <c r="G83" s="2380"/>
      <c r="H83" s="2381"/>
      <c r="I83" s="1361" t="str">
        <f t="array" ref="I83">IFERROR(INDEX('ESDS-Reference Table'!G1:G493,MATCH(1,('ESDS-Reference Table'!F1:F493=E83)*('ESDS-Reference Table'!H1:H493=F21)*('ESDS-Reference Table'!I1:I493=F23),0)),"Select Region and Activity")</f>
        <v>Select Region and Activity</v>
      </c>
      <c r="J83" s="1303"/>
      <c r="K83" s="1849">
        <f t="shared" si="2"/>
        <v>0</v>
      </c>
      <c r="L83" s="1289"/>
      <c r="N83" s="396"/>
    </row>
    <row r="84" spans="2:15" x14ac:dyDescent="0.25">
      <c r="B84" s="1288"/>
      <c r="C84" s="1291"/>
      <c r="D84" s="1849"/>
      <c r="E84" s="1360" t="s">
        <v>748</v>
      </c>
      <c r="F84" s="2370" t="s">
        <v>749</v>
      </c>
      <c r="G84" s="2341"/>
      <c r="H84" s="2368"/>
      <c r="I84" s="1361" t="str">
        <f t="array" ref="I84">IFERROR(INDEX('ESDS-Reference Table'!G1:G493,MATCH(1,('ESDS-Reference Table'!F1:F493=E84)*('ESDS-Reference Table'!H1:H493=F21)*('ESDS-Reference Table'!I1:I493=F23),0)),"Select Region and Activity")</f>
        <v>Select Region and Activity</v>
      </c>
      <c r="J84" s="1303"/>
      <c r="K84" s="1849">
        <f t="shared" si="2"/>
        <v>0</v>
      </c>
      <c r="L84" s="1289"/>
      <c r="N84" s="396"/>
    </row>
    <row r="85" spans="2:15" x14ac:dyDescent="0.25">
      <c r="B85" s="1288"/>
      <c r="C85" s="1291"/>
      <c r="D85" s="1849"/>
      <c r="E85" s="1360" t="s">
        <v>750</v>
      </c>
      <c r="F85" s="2367" t="s">
        <v>751</v>
      </c>
      <c r="G85" s="2341"/>
      <c r="H85" s="2368"/>
      <c r="I85" s="1361" t="str">
        <f t="array" ref="I85">IFERROR(INDEX('ESDS-Reference Table'!G1:G493,MATCH(1,('ESDS-Reference Table'!F1:F493=E85)*('ESDS-Reference Table'!H1:H493=F21)*('ESDS-Reference Table'!I1:I493=F23),0)),"Select Region and Activity")</f>
        <v>Select Region and Activity</v>
      </c>
      <c r="J85" s="1303"/>
      <c r="K85" s="1849">
        <f t="shared" si="2"/>
        <v>0</v>
      </c>
      <c r="L85" s="1289"/>
    </row>
    <row r="86" spans="2:15" x14ac:dyDescent="0.25">
      <c r="B86" s="1288"/>
      <c r="C86" s="1291"/>
      <c r="D86" s="1849"/>
      <c r="E86" s="1360" t="s">
        <v>752</v>
      </c>
      <c r="F86" s="2370" t="s">
        <v>753</v>
      </c>
      <c r="G86" s="2341"/>
      <c r="H86" s="2368"/>
      <c r="I86" s="1361" t="str">
        <f t="array" ref="I86">IFERROR(INDEX('ESDS-Reference Table'!G1:G493,MATCH(1,('ESDS-Reference Table'!F1:F493=E86)*('ESDS-Reference Table'!H1:H493=F21)*('ESDS-Reference Table'!I1:I493=F23),0)),"Select Region and Activity")</f>
        <v>Select Region and Activity</v>
      </c>
      <c r="J86" s="1303"/>
      <c r="K86" s="1849">
        <f t="shared" si="2"/>
        <v>0</v>
      </c>
      <c r="L86" s="1289"/>
      <c r="N86" s="396"/>
    </row>
    <row r="87" spans="2:15" x14ac:dyDescent="0.25">
      <c r="B87" s="1288"/>
      <c r="C87" s="1291"/>
      <c r="D87" s="1849"/>
      <c r="E87" s="1362">
        <v>5.9</v>
      </c>
      <c r="F87" s="2367" t="s">
        <v>754</v>
      </c>
      <c r="G87" s="2341"/>
      <c r="H87" s="2368"/>
      <c r="I87" s="1361" t="str">
        <f t="array" ref="I87">IFERROR(INDEX('ESDS-Reference Table'!G1:G493,MATCH(1,('ESDS-Reference Table'!F1:F493=E87)*('ESDS-Reference Table'!H1:H493=F21)*('ESDS-Reference Table'!I1:I493=F23),0)),"Select Region and Activity")</f>
        <v>Select Region and Activity</v>
      </c>
      <c r="J87" s="1303"/>
      <c r="K87" s="1849">
        <f t="shared" si="2"/>
        <v>0</v>
      </c>
      <c r="L87" s="1289"/>
    </row>
    <row r="88" spans="2:15" x14ac:dyDescent="0.25">
      <c r="B88" s="1288"/>
      <c r="C88" s="1291"/>
      <c r="D88" s="1849"/>
      <c r="E88" s="1363" t="s">
        <v>755</v>
      </c>
      <c r="F88" s="2370" t="s">
        <v>754</v>
      </c>
      <c r="G88" s="2341"/>
      <c r="H88" s="2368"/>
      <c r="I88" s="1361" t="str">
        <f t="array" ref="I88">IFERROR(INDEX('ESDS-Reference Table'!G1:G493,MATCH(1,('ESDS-Reference Table'!F1:F493=E88)*('ESDS-Reference Table'!H1:H493=F21)*('ESDS-Reference Table'!I1:I493=F23),0)),"Select Region and Activity")</f>
        <v>Select Region and Activity</v>
      </c>
      <c r="J88" s="1303"/>
      <c r="K88" s="1849">
        <f t="shared" si="2"/>
        <v>0</v>
      </c>
      <c r="L88" s="1289"/>
      <c r="N88" s="396"/>
    </row>
    <row r="89" spans="2:15" x14ac:dyDescent="0.25">
      <c r="B89" s="1288"/>
      <c r="C89" s="1291"/>
      <c r="D89" s="1849"/>
      <c r="E89" s="1364">
        <v>5.1100000000000003</v>
      </c>
      <c r="F89" s="2382" t="s">
        <v>756</v>
      </c>
      <c r="G89" s="2383"/>
      <c r="H89" s="2384"/>
      <c r="I89" s="1361" t="str">
        <f t="array" ref="I89">IFERROR(INDEX('ESDS-Reference Table'!G1:G493,MATCH(1,('ESDS-Reference Table'!F1:F493=E89)*('ESDS-Reference Table'!H1:H493=F21)*('ESDS-Reference Table'!I1:I493=F23),0)),"Select Region and Activity")</f>
        <v>Select Region and Activity</v>
      </c>
      <c r="J89" s="1303"/>
      <c r="K89" s="1849">
        <f t="shared" si="2"/>
        <v>0</v>
      </c>
      <c r="L89" s="1289"/>
      <c r="N89" s="396"/>
    </row>
    <row r="90" spans="2:15" x14ac:dyDescent="0.25">
      <c r="B90" s="1288"/>
      <c r="C90" s="1291"/>
      <c r="D90" s="1849"/>
      <c r="E90" s="1364">
        <v>5.12</v>
      </c>
      <c r="F90" s="2385" t="s">
        <v>757</v>
      </c>
      <c r="G90" s="2386"/>
      <c r="H90" s="2387"/>
      <c r="I90" s="1361" t="str">
        <f t="array" ref="I90">IFERROR(INDEX('ESDS-Reference Table'!G1:G493,MATCH(1,('ESDS-Reference Table'!F1:F493=E90)*('ESDS-Reference Table'!H1:H493=F21)*('ESDS-Reference Table'!I1:I493=F23),0)),"Select Region and Activity")</f>
        <v>Select Region and Activity</v>
      </c>
      <c r="J90" s="1303"/>
      <c r="K90" s="1849">
        <f t="shared" si="2"/>
        <v>0</v>
      </c>
      <c r="L90" s="1289"/>
      <c r="N90" s="396"/>
    </row>
    <row r="91" spans="2:15" x14ac:dyDescent="0.25">
      <c r="B91" s="1288"/>
      <c r="C91" s="1291"/>
      <c r="D91" s="1849"/>
      <c r="E91" s="1365">
        <v>5.13</v>
      </c>
      <c r="F91" s="2388" t="s">
        <v>758</v>
      </c>
      <c r="G91" s="2389"/>
      <c r="H91" s="2390"/>
      <c r="I91" s="1361" t="str">
        <f t="array" ref="I91">IFERROR(INDEX('ESDS-Reference Table'!G1:G493,MATCH(1,('ESDS-Reference Table'!F1:F493=E91)*('ESDS-Reference Table'!H1:H493=F21)*('ESDS-Reference Table'!I1:I493=F23),0)),"Select Region and Activity")</f>
        <v>Select Region and Activity</v>
      </c>
      <c r="J91" s="1303"/>
      <c r="K91" s="1849">
        <f t="shared" si="2"/>
        <v>0</v>
      </c>
      <c r="L91" s="1289"/>
      <c r="N91" s="396"/>
    </row>
    <row r="92" spans="2:15" x14ac:dyDescent="0.25">
      <c r="B92" s="1288"/>
      <c r="C92" s="1291"/>
      <c r="D92" s="1849"/>
      <c r="E92" s="1309" t="s">
        <v>34</v>
      </c>
      <c r="F92" s="1310"/>
      <c r="G92" s="1311"/>
      <c r="H92" s="1311"/>
      <c r="I92" s="1312" t="s">
        <v>759</v>
      </c>
      <c r="J92" s="1313">
        <f>SUM(J74:J91)</f>
        <v>0</v>
      </c>
      <c r="K92" s="1849"/>
      <c r="L92" s="1289"/>
    </row>
    <row r="93" spans="2:15" s="1518" customFormat="1" ht="7.5" customHeight="1" x14ac:dyDescent="0.25">
      <c r="B93" s="1288"/>
      <c r="C93" s="1291"/>
      <c r="D93" s="1849"/>
      <c r="E93" s="1291"/>
      <c r="F93" s="1849"/>
      <c r="G93" s="1291"/>
      <c r="H93" s="1291"/>
      <c r="I93" s="1315"/>
      <c r="J93" s="1849"/>
      <c r="K93" s="1849"/>
      <c r="L93" s="1289"/>
      <c r="O93" s="1517"/>
    </row>
    <row r="94" spans="2:15" s="1518" customFormat="1" x14ac:dyDescent="0.25">
      <c r="B94" s="1288"/>
      <c r="C94" s="1291"/>
      <c r="D94" s="1849"/>
      <c r="E94" s="1358" t="s">
        <v>760</v>
      </c>
      <c r="F94" s="1849"/>
      <c r="G94" s="1358"/>
      <c r="H94" s="1358"/>
      <c r="I94" s="1315"/>
      <c r="J94" s="1849"/>
      <c r="K94" s="1849"/>
      <c r="L94" s="1289"/>
      <c r="O94" s="1517"/>
    </row>
    <row r="95" spans="2:15" x14ac:dyDescent="0.25">
      <c r="B95" s="1288"/>
      <c r="C95" s="1291"/>
      <c r="D95" s="1849"/>
      <c r="E95" s="1296" t="s">
        <v>680</v>
      </c>
      <c r="F95" s="1297" t="s">
        <v>681</v>
      </c>
      <c r="G95" s="1298"/>
      <c r="H95" s="1298"/>
      <c r="I95" s="1299" t="s">
        <v>682</v>
      </c>
      <c r="J95" s="1300" t="s">
        <v>683</v>
      </c>
      <c r="K95" s="1849"/>
      <c r="L95" s="1289"/>
      <c r="O95" s="396"/>
    </row>
    <row r="96" spans="2:15" x14ac:dyDescent="0.25">
      <c r="B96" s="1288"/>
      <c r="C96" s="1291"/>
      <c r="D96" s="1849"/>
      <c r="E96" s="1366">
        <v>6.1</v>
      </c>
      <c r="F96" s="2391" t="s">
        <v>761</v>
      </c>
      <c r="G96" s="2357"/>
      <c r="H96" s="2392"/>
      <c r="I96" s="378" t="str">
        <f t="array" ref="I96">IFERROR(INDEX('ESDS-Reference Table'!G1:G493,MATCH(1,('ESDS-Reference Table'!F1:F493=E96)*('ESDS-Reference Table'!H1:H493=F21)*('ESDS-Reference Table'!I1:I493=F23),0)),"Select Region and Activity")</f>
        <v>Select Region and Activity</v>
      </c>
      <c r="J96" s="1303"/>
      <c r="K96" s="1849">
        <f>N(J96)</f>
        <v>0</v>
      </c>
      <c r="L96" s="1289"/>
    </row>
    <row r="97" spans="2:16" x14ac:dyDescent="0.25">
      <c r="B97" s="1288"/>
      <c r="C97" s="1291"/>
      <c r="D97" s="1849"/>
      <c r="E97" s="1362">
        <v>6.2</v>
      </c>
      <c r="F97" s="2367" t="s">
        <v>762</v>
      </c>
      <c r="G97" s="2341"/>
      <c r="H97" s="2368"/>
      <c r="I97" s="1361" t="str">
        <f t="array" ref="I97">IFERROR(INDEX('ESDS-Reference Table'!G1:G493,MATCH(1,('ESDS-Reference Table'!F1:F493=E97)*('ESDS-Reference Table'!H1:H493=F21)*('ESDS-Reference Table'!I1:I493=F23),0)),"Select Region and Activity")</f>
        <v>Select Region and Activity</v>
      </c>
      <c r="J97" s="1303"/>
      <c r="K97" s="1849">
        <f>N(J97)</f>
        <v>0</v>
      </c>
      <c r="L97" s="1289"/>
    </row>
    <row r="98" spans="2:16" x14ac:dyDescent="0.25">
      <c r="B98" s="1288"/>
      <c r="C98" s="1291"/>
      <c r="D98" s="1849"/>
      <c r="E98" s="1362">
        <v>6.3</v>
      </c>
      <c r="F98" s="2367" t="s">
        <v>763</v>
      </c>
      <c r="G98" s="2341"/>
      <c r="H98" s="2368"/>
      <c r="I98" s="1361" t="str">
        <f t="array" ref="I98">IFERROR(INDEX('ESDS-Reference Table'!G1:G493,MATCH(1,('ESDS-Reference Table'!F1:F493=E98)*('ESDS-Reference Table'!H1:H493=F21)*('ESDS-Reference Table'!I1:I493=F23),0)),"Select Region and Activity")</f>
        <v>Select Region and Activity</v>
      </c>
      <c r="J98" s="1303"/>
      <c r="K98" s="1849">
        <f>N(J98)</f>
        <v>0</v>
      </c>
      <c r="L98" s="1289"/>
    </row>
    <row r="99" spans="2:16" x14ac:dyDescent="0.25">
      <c r="B99" s="1288"/>
      <c r="C99" s="1291"/>
      <c r="D99" s="1849"/>
      <c r="E99" s="1362">
        <v>6.4</v>
      </c>
      <c r="F99" s="2367" t="s">
        <v>764</v>
      </c>
      <c r="G99" s="2341"/>
      <c r="H99" s="2368"/>
      <c r="I99" s="1361" t="str">
        <f t="array" ref="I99">IFERROR(INDEX('ESDS-Reference Table'!G1:G493,MATCH(1,('ESDS-Reference Table'!F1:F493=E99)*('ESDS-Reference Table'!H1:H493=F21)*('ESDS-Reference Table'!I1:I493=F23),0)),"Select Region and Activity")</f>
        <v>Select Region and Activity</v>
      </c>
      <c r="J99" s="1303"/>
      <c r="K99" s="1849">
        <f>N(J99)</f>
        <v>0</v>
      </c>
      <c r="L99" s="1289"/>
    </row>
    <row r="100" spans="2:16" x14ac:dyDescent="0.25">
      <c r="B100" s="1288"/>
      <c r="C100" s="1291"/>
      <c r="D100" s="1849"/>
      <c r="E100" s="1360" t="s">
        <v>765</v>
      </c>
      <c r="F100" s="2370" t="s">
        <v>766</v>
      </c>
      <c r="G100" s="2341"/>
      <c r="H100" s="2368"/>
      <c r="I100" s="1361" t="str">
        <f t="array" ref="I100">IFERROR(INDEX('ESDS-Reference Table'!G1:G493,MATCH(1,('ESDS-Reference Table'!F1:F493=E100)*('ESDS-Reference Table'!H1:H493=F21)*('ESDS-Reference Table'!I1:I493=F23),0)),"Select Region and Activity")</f>
        <v>Select Region and Activity</v>
      </c>
      <c r="J100" s="1303"/>
      <c r="K100" s="1849">
        <f>N(J100)</f>
        <v>0</v>
      </c>
      <c r="L100" s="1289"/>
    </row>
    <row r="101" spans="2:16" x14ac:dyDescent="0.25">
      <c r="B101" s="1288"/>
      <c r="C101" s="1291"/>
      <c r="D101" s="1849"/>
      <c r="E101" s="1360" t="s">
        <v>767</v>
      </c>
      <c r="F101" s="1854" t="s">
        <v>768</v>
      </c>
      <c r="G101" s="1850"/>
      <c r="H101" s="1853"/>
      <c r="I101" s="1361" t="str">
        <f t="array" ref="I101">IFERROR(INDEX('ESDS-Reference Table'!G1:G493,MATCH(1,('ESDS-Reference Table'!F1:F493=E101)*('ESDS-Reference Table'!H1:H493=F21)*('ESDS-Reference Table'!I1:I493=F23),0)),"Select Region and Activity")</f>
        <v>Select Region and Activity</v>
      </c>
      <c r="J101" s="1303"/>
      <c r="K101" s="1849"/>
      <c r="L101" s="1289"/>
    </row>
    <row r="102" spans="2:16" x14ac:dyDescent="0.25">
      <c r="B102" s="1288"/>
      <c r="C102" s="1291"/>
      <c r="D102" s="1849"/>
      <c r="E102" s="1364">
        <v>6.6</v>
      </c>
      <c r="F102" s="1854" t="s">
        <v>769</v>
      </c>
      <c r="G102" s="1850"/>
      <c r="H102" s="1853"/>
      <c r="I102" s="1361" t="str">
        <f t="array" ref="I102">IFERROR(INDEX('ESDS-Reference Table'!G1:G493,MATCH(1,('ESDS-Reference Table'!F1:F493=E102)*('ESDS-Reference Table'!H1:H493=F21)*('ESDS-Reference Table'!I1:I493=F23),0)),"Select Region and Activity")</f>
        <v>Select Region and Activity</v>
      </c>
      <c r="J102" s="1303"/>
      <c r="K102" s="1849"/>
      <c r="L102" s="1289"/>
    </row>
    <row r="103" spans="2:16" x14ac:dyDescent="0.25">
      <c r="B103" s="1288"/>
      <c r="C103" s="1291"/>
      <c r="D103" s="1849"/>
      <c r="E103" s="1309" t="s">
        <v>34</v>
      </c>
      <c r="F103" s="1310"/>
      <c r="G103" s="1311"/>
      <c r="H103" s="1311"/>
      <c r="I103" s="1312" t="s">
        <v>770</v>
      </c>
      <c r="J103" s="1313">
        <f>SUM(J96:J102)</f>
        <v>0</v>
      </c>
      <c r="K103" s="1849"/>
      <c r="L103" s="1289"/>
      <c r="P103" s="1518"/>
    </row>
    <row r="104" spans="2:16" s="1518" customFormat="1" ht="7.5" customHeight="1" x14ac:dyDescent="0.25">
      <c r="B104" s="1288"/>
      <c r="C104" s="1291"/>
      <c r="D104" s="1849"/>
      <c r="E104" s="1314"/>
      <c r="F104" s="1316"/>
      <c r="G104" s="1314"/>
      <c r="H104" s="1314"/>
      <c r="I104" s="1315"/>
      <c r="J104" s="1316"/>
      <c r="K104" s="1849"/>
      <c r="L104" s="1289"/>
      <c r="O104" s="1517"/>
    </row>
    <row r="105" spans="2:16" s="1518" customFormat="1" ht="7.5" customHeight="1" x14ac:dyDescent="0.25">
      <c r="B105" s="1288"/>
      <c r="C105" s="1291"/>
      <c r="D105" s="1849"/>
      <c r="E105" s="1291"/>
      <c r="F105" s="1849"/>
      <c r="G105" s="1291"/>
      <c r="H105" s="1291"/>
      <c r="I105" s="1315"/>
      <c r="J105" s="1849"/>
      <c r="K105" s="1849"/>
      <c r="L105" s="1289"/>
      <c r="O105" s="1517"/>
    </row>
    <row r="106" spans="2:16" s="1518" customFormat="1" x14ac:dyDescent="0.25">
      <c r="B106" s="1288"/>
      <c r="C106" s="1291"/>
      <c r="D106" s="1849"/>
      <c r="E106" s="1358" t="s">
        <v>771</v>
      </c>
      <c r="F106" s="1849"/>
      <c r="G106" s="1358"/>
      <c r="H106" s="1358"/>
      <c r="I106" s="1315"/>
      <c r="J106" s="1849"/>
      <c r="K106" s="1849"/>
      <c r="L106" s="1289"/>
      <c r="O106" s="1517"/>
    </row>
    <row r="107" spans="2:16" x14ac:dyDescent="0.25">
      <c r="B107" s="1288"/>
      <c r="C107" s="1291"/>
      <c r="D107" s="1849"/>
      <c r="E107" s="1296" t="s">
        <v>680</v>
      </c>
      <c r="F107" s="1297" t="s">
        <v>681</v>
      </c>
      <c r="G107" s="1298"/>
      <c r="H107" s="1298"/>
      <c r="I107" s="1299" t="s">
        <v>682</v>
      </c>
      <c r="J107" s="1300" t="s">
        <v>683</v>
      </c>
      <c r="K107" s="1849"/>
      <c r="L107" s="1289"/>
    </row>
    <row r="108" spans="2:16" x14ac:dyDescent="0.25">
      <c r="B108" s="1288"/>
      <c r="C108" s="1291"/>
      <c r="D108" s="1849"/>
      <c r="E108" s="1366">
        <v>7.1</v>
      </c>
      <c r="F108" s="2393" t="s">
        <v>772</v>
      </c>
      <c r="G108" s="2394"/>
      <c r="H108" s="2395"/>
      <c r="I108" s="1367" t="str">
        <f t="array" ref="I108">IFERROR(INDEX('ESDS-Reference Table'!$G$1:$G$493,MATCH(1,('ESDS-Reference Table'!$F$1:$F$493=E108)*('ESDS-Reference Table'!$H$1:$H$493=$F$21)*('ESDS-Reference Table'!$I$1:$I$493=$F$23),0)),"Select Region and Activity")</f>
        <v>Select Region and Activity</v>
      </c>
      <c r="J108" s="1303"/>
      <c r="K108" s="1849">
        <f t="shared" ref="K108:K128" si="3">N(J108)</f>
        <v>0</v>
      </c>
      <c r="L108" s="1289"/>
    </row>
    <row r="109" spans="2:16" ht="15" customHeight="1" x14ac:dyDescent="0.25">
      <c r="B109" s="1288"/>
      <c r="C109" s="1291"/>
      <c r="D109" s="1849"/>
      <c r="E109" s="1360" t="s">
        <v>773</v>
      </c>
      <c r="F109" s="2367" t="s">
        <v>774</v>
      </c>
      <c r="G109" s="2341"/>
      <c r="H109" s="2368"/>
      <c r="I109" s="1368" t="str">
        <f t="array" ref="I109">IFERROR(INDEX('ESDS-Reference Table'!$G$1:$G$493,MATCH(1,('ESDS-Reference Table'!$F$1:$F$493=E109)*('ESDS-Reference Table'!$H$1:$H$493=$F$21)*('ESDS-Reference Table'!$I$1:$I$493=$F$23),0)),"Select Region and Activity")</f>
        <v>Select Region and Activity</v>
      </c>
      <c r="J109" s="1303"/>
      <c r="K109" s="1849">
        <f t="shared" si="3"/>
        <v>0</v>
      </c>
      <c r="L109" s="1289"/>
    </row>
    <row r="110" spans="2:16" x14ac:dyDescent="0.25">
      <c r="B110" s="1288"/>
      <c r="C110" s="1291"/>
      <c r="D110" s="1849"/>
      <c r="E110" s="1360" t="s">
        <v>775</v>
      </c>
      <c r="F110" s="2367" t="s">
        <v>774</v>
      </c>
      <c r="G110" s="2341"/>
      <c r="H110" s="2368"/>
      <c r="I110" s="1368" t="str">
        <f t="array" ref="I110">IFERROR(INDEX('ESDS-Reference Table'!$G$1:$G$493,MATCH(1,('ESDS-Reference Table'!$F$1:$F$493=E110)*('ESDS-Reference Table'!$H$1:$H$493=$F$21)*('ESDS-Reference Table'!$I$1:$I$493=$F$23),0)),"Select Region and Activity")</f>
        <v>Select Region and Activity</v>
      </c>
      <c r="J110" s="1303"/>
      <c r="K110" s="1849">
        <f t="shared" si="3"/>
        <v>0</v>
      </c>
      <c r="L110" s="1289"/>
    </row>
    <row r="111" spans="2:16" x14ac:dyDescent="0.25">
      <c r="B111" s="1288"/>
      <c r="C111" s="1291"/>
      <c r="D111" s="1849"/>
      <c r="E111" s="1360" t="s">
        <v>776</v>
      </c>
      <c r="F111" s="2370" t="s">
        <v>777</v>
      </c>
      <c r="G111" s="2377"/>
      <c r="H111" s="2378"/>
      <c r="I111" s="1368" t="str">
        <f t="array" ref="I111">IFERROR(INDEX('ESDS-Reference Table'!$G$1:$G$493,MATCH(1,('ESDS-Reference Table'!$F$1:$F$493=E111)*('ESDS-Reference Table'!$H$1:$H$493=$F$21)*('ESDS-Reference Table'!$I$1:$I$493=$F$23),0)),"Select Region and Activity")</f>
        <v>Select Region and Activity</v>
      </c>
      <c r="J111" s="1303"/>
      <c r="K111" s="1849">
        <f t="shared" si="3"/>
        <v>0</v>
      </c>
      <c r="L111" s="1289"/>
      <c r="N111" s="396"/>
      <c r="P111" s="395"/>
    </row>
    <row r="112" spans="2:16" x14ac:dyDescent="0.25">
      <c r="B112" s="1288"/>
      <c r="C112" s="1291"/>
      <c r="D112" s="1849"/>
      <c r="E112" s="1360" t="s">
        <v>778</v>
      </c>
      <c r="F112" s="2379" t="s">
        <v>777</v>
      </c>
      <c r="G112" s="2380"/>
      <c r="H112" s="2381"/>
      <c r="I112" s="1368" t="str">
        <f t="array" ref="I112">IFERROR(INDEX('ESDS-Reference Table'!$G$1:$G$493,MATCH(1,('ESDS-Reference Table'!$F$1:$F$493=E112)*('ESDS-Reference Table'!$H$1:$H$493=$F$21)*('ESDS-Reference Table'!$I$1:$I$493=$F$23),0)),"Select Region and Activity")</f>
        <v>Select Region and Activity</v>
      </c>
      <c r="J112" s="1303"/>
      <c r="K112" s="1849">
        <f t="shared" si="3"/>
        <v>0</v>
      </c>
      <c r="L112" s="1289"/>
      <c r="N112" s="396"/>
      <c r="P112" s="395"/>
    </row>
    <row r="113" spans="2:16" x14ac:dyDescent="0.25">
      <c r="B113" s="1288"/>
      <c r="C113" s="1291"/>
      <c r="D113" s="1849"/>
      <c r="E113" s="1360" t="s">
        <v>779</v>
      </c>
      <c r="F113" s="2370" t="s">
        <v>780</v>
      </c>
      <c r="G113" s="2377"/>
      <c r="H113" s="2378"/>
      <c r="I113" s="1368" t="str">
        <f t="array" ref="I113">IFERROR(INDEX('ESDS-Reference Table'!$G$1:$G$493,MATCH(1,('ESDS-Reference Table'!$F$1:$F$493=E113)*('ESDS-Reference Table'!$H$1:$H$493=$F$21)*('ESDS-Reference Table'!$I$1:$I$493=$F$23),0)),"Select Region and Activity")</f>
        <v>Select Region and Activity</v>
      </c>
      <c r="J113" s="1303"/>
      <c r="K113" s="1849">
        <f t="shared" si="3"/>
        <v>0</v>
      </c>
      <c r="L113" s="1289"/>
      <c r="N113" s="396"/>
      <c r="P113" s="395"/>
    </row>
    <row r="114" spans="2:16" x14ac:dyDescent="0.25">
      <c r="B114" s="1288"/>
      <c r="C114" s="1291"/>
      <c r="D114" s="1849"/>
      <c r="E114" s="1360" t="s">
        <v>781</v>
      </c>
      <c r="F114" s="2370" t="s">
        <v>780</v>
      </c>
      <c r="G114" s="2377"/>
      <c r="H114" s="2378"/>
      <c r="I114" s="1368" t="str">
        <f t="array" ref="I114">IFERROR(INDEX('ESDS-Reference Table'!$G$1:$G$493,MATCH(1,('ESDS-Reference Table'!$F$1:$F$493=E114)*('ESDS-Reference Table'!$H$1:$H$493=$F$21)*('ESDS-Reference Table'!$I$1:$I$493=$F$23),0)),"Select Region and Activity")</f>
        <v>Select Region and Activity</v>
      </c>
      <c r="J114" s="1303"/>
      <c r="K114" s="1849">
        <f t="shared" si="3"/>
        <v>0</v>
      </c>
      <c r="L114" s="1289"/>
      <c r="N114" s="396"/>
      <c r="P114" s="395"/>
    </row>
    <row r="115" spans="2:16" x14ac:dyDescent="0.25">
      <c r="B115" s="1288"/>
      <c r="C115" s="1291"/>
      <c r="D115" s="1849"/>
      <c r="E115" s="1364">
        <v>7.5</v>
      </c>
      <c r="F115" s="2367" t="s">
        <v>782</v>
      </c>
      <c r="G115" s="2341"/>
      <c r="H115" s="2368"/>
      <c r="I115" s="1368" t="str">
        <f t="array" ref="I115">IFERROR(INDEX('ESDS-Reference Table'!$G$1:$G$493,MATCH(1,('ESDS-Reference Table'!$F$1:$F$493=E115)*('ESDS-Reference Table'!$H$1:$H$493=$F$21)*('ESDS-Reference Table'!$I$1:$I$493=$F$23),0)),"Select Region and Activity")</f>
        <v>Select Region and Activity</v>
      </c>
      <c r="J115" s="1303"/>
      <c r="K115" s="1849">
        <f t="shared" si="3"/>
        <v>0</v>
      </c>
      <c r="L115" s="1289"/>
    </row>
    <row r="116" spans="2:16" x14ac:dyDescent="0.25">
      <c r="B116" s="1288"/>
      <c r="C116" s="1291"/>
      <c r="D116" s="1849"/>
      <c r="E116" s="1364">
        <v>7.6</v>
      </c>
      <c r="F116" s="2367" t="s">
        <v>783</v>
      </c>
      <c r="G116" s="2341"/>
      <c r="H116" s="2368"/>
      <c r="I116" s="1368" t="str">
        <f t="array" ref="I116">IFERROR(INDEX('ESDS-Reference Table'!$G$1:$G$493,MATCH(1,('ESDS-Reference Table'!$F$1:$F$493=E116)*('ESDS-Reference Table'!$H$1:$H$493=$F$21)*('ESDS-Reference Table'!$I$1:$I$493=$F$23),0)),"Select Region and Activity")</f>
        <v>Select Region and Activity</v>
      </c>
      <c r="J116" s="1303"/>
      <c r="K116" s="1849">
        <f t="shared" si="3"/>
        <v>0</v>
      </c>
      <c r="L116" s="1289"/>
    </row>
    <row r="117" spans="2:16" x14ac:dyDescent="0.25">
      <c r="B117" s="1288"/>
      <c r="C117" s="1291"/>
      <c r="D117" s="1849"/>
      <c r="E117" s="1364">
        <v>7.7</v>
      </c>
      <c r="F117" s="2367" t="s">
        <v>784</v>
      </c>
      <c r="G117" s="2341"/>
      <c r="H117" s="2368"/>
      <c r="I117" s="1368" t="str">
        <f t="array" ref="I117">IFERROR(INDEX('ESDS-Reference Table'!$G$1:$G$493,MATCH(1,('ESDS-Reference Table'!$F$1:$F$493=E117)*('ESDS-Reference Table'!$H$1:$H$493=$F$21)*('ESDS-Reference Table'!$I$1:$I$493=$F$23),0)),"Select Region and Activity")</f>
        <v>Select Region and Activity</v>
      </c>
      <c r="J117" s="1303"/>
      <c r="K117" s="1849">
        <f t="shared" si="3"/>
        <v>0</v>
      </c>
      <c r="L117" s="1289"/>
    </row>
    <row r="118" spans="2:16" x14ac:dyDescent="0.25">
      <c r="B118" s="1288"/>
      <c r="C118" s="1291"/>
      <c r="D118" s="1849"/>
      <c r="E118" s="1364">
        <v>7.8</v>
      </c>
      <c r="F118" s="2367" t="s">
        <v>785</v>
      </c>
      <c r="G118" s="2341"/>
      <c r="H118" s="2368"/>
      <c r="I118" s="1368" t="str">
        <f t="array" ref="I118">IFERROR(INDEX('ESDS-Reference Table'!$G$1:$G$493,MATCH(1,('ESDS-Reference Table'!$F$1:$F$493=E118)*('ESDS-Reference Table'!$H$1:$H$493=$F$21)*('ESDS-Reference Table'!$I$1:$I$493=$F$23),0)),"Select Region and Activity")</f>
        <v>Select Region and Activity</v>
      </c>
      <c r="J118" s="1303"/>
      <c r="K118" s="1849">
        <f t="shared" si="3"/>
        <v>0</v>
      </c>
      <c r="L118" s="1289"/>
    </row>
    <row r="119" spans="2:16" s="1522" customFormat="1" x14ac:dyDescent="0.25">
      <c r="B119" s="1369"/>
      <c r="C119" s="1291"/>
      <c r="D119" s="1370"/>
      <c r="E119" s="1371">
        <v>7.9</v>
      </c>
      <c r="F119" s="2367" t="s">
        <v>786</v>
      </c>
      <c r="G119" s="2341"/>
      <c r="H119" s="2368"/>
      <c r="I119" s="1368" t="str">
        <f t="array" ref="I119">IFERROR(INDEX('ESDS-Reference Table'!$G$1:$G$493,MATCH(1,('ESDS-Reference Table'!$F$1:$F$493=E119)*('ESDS-Reference Table'!$H$1:$H$493=$F$21)*('ESDS-Reference Table'!$I$1:$I$493=$F$23),0)),"Select Region and Activity")</f>
        <v>Select Region and Activity</v>
      </c>
      <c r="J119" s="1303"/>
      <c r="K119" s="1849">
        <f t="shared" si="3"/>
        <v>0</v>
      </c>
      <c r="L119" s="1372"/>
      <c r="N119" s="1517"/>
    </row>
    <row r="120" spans="2:16" x14ac:dyDescent="0.25">
      <c r="B120" s="1288"/>
      <c r="C120" s="1291"/>
      <c r="D120" s="1849"/>
      <c r="E120" s="1373" t="s">
        <v>787</v>
      </c>
      <c r="F120" s="2367" t="s">
        <v>788</v>
      </c>
      <c r="G120" s="2341"/>
      <c r="H120" s="2368"/>
      <c r="I120" s="1368" t="str">
        <f t="array" ref="I120">IFERROR(INDEX('ESDS-Reference Table'!$G$1:$G$493,MATCH(1,('ESDS-Reference Table'!$F$1:$F$493=E120)*('ESDS-Reference Table'!$H$1:$H$493=$F$21)*('ESDS-Reference Table'!$I$1:$I$493=$F$23),0)),"Select Region and Activity")</f>
        <v>Select Region and Activity</v>
      </c>
      <c r="J120" s="1303"/>
      <c r="K120" s="1849">
        <f t="shared" si="3"/>
        <v>0</v>
      </c>
      <c r="L120" s="1289"/>
      <c r="N120" s="396"/>
    </row>
    <row r="121" spans="2:16" x14ac:dyDescent="0.25">
      <c r="B121" s="1288"/>
      <c r="C121" s="1291"/>
      <c r="D121" s="1849"/>
      <c r="E121" s="1364">
        <v>7.11</v>
      </c>
      <c r="F121" s="2367" t="s">
        <v>789</v>
      </c>
      <c r="G121" s="2341"/>
      <c r="H121" s="2368"/>
      <c r="I121" s="1368" t="str">
        <f t="array" ref="I121">IFERROR(INDEX('ESDS-Reference Table'!$G$1:$G$493,MATCH(1,('ESDS-Reference Table'!$F$1:$F$493=E121)*('ESDS-Reference Table'!$H$1:$H$493=$F$21)*('ESDS-Reference Table'!$I$1:$I$493=$F$23),0)),"Select Region and Activity")</f>
        <v>Select Region and Activity</v>
      </c>
      <c r="J121" s="1303"/>
      <c r="K121" s="1849">
        <f t="shared" si="3"/>
        <v>0</v>
      </c>
      <c r="L121" s="1289"/>
    </row>
    <row r="122" spans="2:16" x14ac:dyDescent="0.25">
      <c r="B122" s="1288"/>
      <c r="C122" s="1291"/>
      <c r="D122" s="1849"/>
      <c r="E122" s="1364">
        <v>7.12</v>
      </c>
      <c r="F122" s="2367" t="s">
        <v>790</v>
      </c>
      <c r="G122" s="2341"/>
      <c r="H122" s="2368"/>
      <c r="I122" s="1368" t="str">
        <f t="array" ref="I122">IFERROR(INDEX('ESDS-Reference Table'!$G$1:$G$493,MATCH(1,('ESDS-Reference Table'!$F$1:$F$493=E122)*('ESDS-Reference Table'!$H$1:$H$493=$F$21)*('ESDS-Reference Table'!$I$1:$I$493=$F$23),0)),"Select Region and Activity")</f>
        <v>Select Region and Activity</v>
      </c>
      <c r="J122" s="1303"/>
      <c r="K122" s="1849">
        <f t="shared" si="3"/>
        <v>0</v>
      </c>
      <c r="L122" s="1289"/>
    </row>
    <row r="123" spans="2:16" x14ac:dyDescent="0.25">
      <c r="B123" s="1288"/>
      <c r="C123" s="1291"/>
      <c r="D123" s="1849"/>
      <c r="E123" s="1360" t="s">
        <v>791</v>
      </c>
      <c r="F123" s="2367" t="s">
        <v>792</v>
      </c>
      <c r="G123" s="2341"/>
      <c r="H123" s="2368"/>
      <c r="I123" s="1368" t="str">
        <f t="array" ref="I123">IFERROR(INDEX('ESDS-Reference Table'!$G$1:$G$493,MATCH(1,('ESDS-Reference Table'!$F$1:$F$493=E123)*('ESDS-Reference Table'!$H$1:$H$493=$F$21)*('ESDS-Reference Table'!$I$1:$I$493=$F$23),0)),"Select Region and Activity")</f>
        <v>Select Region and Activity</v>
      </c>
      <c r="J123" s="1303"/>
      <c r="K123" s="1849">
        <f t="shared" si="3"/>
        <v>0</v>
      </c>
      <c r="L123" s="1289"/>
      <c r="N123" s="396"/>
    </row>
    <row r="124" spans="2:16" x14ac:dyDescent="0.25">
      <c r="B124" s="1288"/>
      <c r="C124" s="1291"/>
      <c r="D124" s="1849"/>
      <c r="E124" s="1360" t="s">
        <v>793</v>
      </c>
      <c r="F124" s="2367" t="s">
        <v>792</v>
      </c>
      <c r="G124" s="2341"/>
      <c r="H124" s="2368"/>
      <c r="I124" s="1368" t="str">
        <f t="array" ref="I124">IFERROR(INDEX('ESDS-Reference Table'!$G$1:$G$493,MATCH(1,('ESDS-Reference Table'!$F$1:$F$493=E124)*('ESDS-Reference Table'!$H$1:$H$493=$F$21)*('ESDS-Reference Table'!$I$1:$I$493=$F$23),0)),"Select Region and Activity")</f>
        <v>Select Region and Activity</v>
      </c>
      <c r="J124" s="1303"/>
      <c r="K124" s="1849">
        <f t="shared" si="3"/>
        <v>0</v>
      </c>
      <c r="L124" s="1289"/>
      <c r="N124" s="396"/>
    </row>
    <row r="125" spans="2:16" x14ac:dyDescent="0.25">
      <c r="B125" s="1288"/>
      <c r="C125" s="1291"/>
      <c r="D125" s="1849"/>
      <c r="E125" s="1364">
        <v>7.14</v>
      </c>
      <c r="F125" s="2367" t="s">
        <v>794</v>
      </c>
      <c r="G125" s="2341"/>
      <c r="H125" s="2368"/>
      <c r="I125" s="1368" t="str">
        <f t="array" ref="I125">IFERROR(INDEX('ESDS-Reference Table'!$G$1:$G$493,MATCH(1,('ESDS-Reference Table'!$F$1:$F$493=E125)*('ESDS-Reference Table'!$H$1:$H$493=$F$21)*('ESDS-Reference Table'!$I$1:$I$493=$F$23),0)),"Select Region and Activity")</f>
        <v>Select Region and Activity</v>
      </c>
      <c r="J125" s="1303"/>
      <c r="K125" s="1849">
        <f t="shared" si="3"/>
        <v>0</v>
      </c>
      <c r="L125" s="1289"/>
    </row>
    <row r="126" spans="2:16" x14ac:dyDescent="0.25">
      <c r="B126" s="1288"/>
      <c r="C126" s="1291"/>
      <c r="D126" s="1849"/>
      <c r="E126" s="1364">
        <v>7.15</v>
      </c>
      <c r="F126" s="2367" t="s">
        <v>795</v>
      </c>
      <c r="G126" s="2341"/>
      <c r="H126" s="2368"/>
      <c r="I126" s="1368" t="str">
        <f t="array" ref="I126">IFERROR(INDEX('ESDS-Reference Table'!$G$1:$G$493,MATCH(1,('ESDS-Reference Table'!$F$1:$F$493=E126)*('ESDS-Reference Table'!$H$1:$H$493=$F$21)*('ESDS-Reference Table'!$I$1:$I$493=$F$23),0)),"Select Region and Activity")</f>
        <v>Select Region and Activity</v>
      </c>
      <c r="J126" s="1303"/>
      <c r="K126" s="1849">
        <f t="shared" si="3"/>
        <v>0</v>
      </c>
      <c r="L126" s="1289"/>
    </row>
    <row r="127" spans="2:16" x14ac:dyDescent="0.25">
      <c r="B127" s="1288"/>
      <c r="C127" s="1291"/>
      <c r="D127" s="1849"/>
      <c r="E127" s="1364">
        <v>7.16</v>
      </c>
      <c r="F127" s="2367" t="s">
        <v>796</v>
      </c>
      <c r="G127" s="2341"/>
      <c r="H127" s="2368"/>
      <c r="I127" s="1368" t="str">
        <f t="array" ref="I127">IFERROR(INDEX('ESDS-Reference Table'!$G$1:$G$493,MATCH(1,('ESDS-Reference Table'!$F$1:$F$493=E127)*('ESDS-Reference Table'!$H$1:$H$493=$F$21)*('ESDS-Reference Table'!$I$1:$I$493=$F$23),0)),"Select Region and Activity")</f>
        <v>Select Region and Activity</v>
      </c>
      <c r="J127" s="1303"/>
      <c r="K127" s="1849">
        <f t="shared" si="3"/>
        <v>0</v>
      </c>
      <c r="L127" s="1289"/>
    </row>
    <row r="128" spans="2:16" x14ac:dyDescent="0.25">
      <c r="B128" s="1288"/>
      <c r="C128" s="1291"/>
      <c r="D128" s="1849"/>
      <c r="E128" s="1365">
        <v>7.17</v>
      </c>
      <c r="F128" s="2396" t="s">
        <v>797</v>
      </c>
      <c r="G128" s="2364"/>
      <c r="H128" s="2397"/>
      <c r="I128" s="1345" t="str">
        <f t="array" ref="I128">IFERROR(INDEX('ESDS-Reference Table'!$G$1:$G$493,MATCH(1,('ESDS-Reference Table'!$F$1:$F$493=E128)*('ESDS-Reference Table'!$H$1:$H$493=$F$21)*('ESDS-Reference Table'!$I$1:$I$493=$F$23),0)),"Select Region and Activity")</f>
        <v>Select Region and Activity</v>
      </c>
      <c r="J128" s="1303"/>
      <c r="K128" s="1849">
        <f t="shared" si="3"/>
        <v>0</v>
      </c>
      <c r="L128" s="1289"/>
    </row>
    <row r="129" spans="2:12" x14ac:dyDescent="0.25">
      <c r="B129" s="1288"/>
      <c r="C129" s="1291"/>
      <c r="D129" s="1849"/>
      <c r="E129" s="1309"/>
      <c r="F129" s="1310"/>
      <c r="G129" s="1311"/>
      <c r="H129" s="1311"/>
      <c r="I129" s="1312" t="s">
        <v>798</v>
      </c>
      <c r="J129" s="1313">
        <f>SUM(J108:J128)</f>
        <v>0</v>
      </c>
      <c r="K129" s="1849"/>
      <c r="L129" s="1289"/>
    </row>
    <row r="130" spans="2:12" ht="7.5" customHeight="1" thickBot="1" x14ac:dyDescent="0.3">
      <c r="B130" s="1374"/>
      <c r="C130" s="1352"/>
      <c r="D130" s="1352"/>
      <c r="E130" s="1349"/>
      <c r="F130" s="1350"/>
      <c r="G130" s="1349"/>
      <c r="H130" s="1349"/>
      <c r="I130" s="1351"/>
      <c r="J130" s="1350"/>
      <c r="K130" s="1352"/>
      <c r="L130" s="1353"/>
    </row>
    <row r="131" spans="2:12" ht="7.5" customHeight="1" x14ac:dyDescent="0.25">
      <c r="B131" s="1285"/>
      <c r="C131" s="1286"/>
      <c r="D131" s="1286"/>
      <c r="E131" s="1356"/>
      <c r="F131" s="1286"/>
      <c r="G131" s="1356"/>
      <c r="H131" s="1356"/>
      <c r="I131" s="1357"/>
      <c r="J131" s="1286"/>
      <c r="K131" s="1286"/>
      <c r="L131" s="1287"/>
    </row>
    <row r="132" spans="2:12" x14ac:dyDescent="0.25">
      <c r="B132" s="1288"/>
      <c r="C132" s="1291"/>
      <c r="D132" s="1849"/>
      <c r="E132" s="1358" t="s">
        <v>799</v>
      </c>
      <c r="F132" s="1849"/>
      <c r="G132" s="1358"/>
      <c r="H132" s="1358"/>
      <c r="I132" s="1315"/>
      <c r="J132" s="1849"/>
      <c r="K132" s="1849"/>
      <c r="L132" s="1289"/>
    </row>
    <row r="133" spans="2:12" x14ac:dyDescent="0.25">
      <c r="B133" s="1288"/>
      <c r="C133" s="1291"/>
      <c r="D133" s="1849"/>
      <c r="E133" s="1296" t="s">
        <v>680</v>
      </c>
      <c r="F133" s="1297" t="s">
        <v>681</v>
      </c>
      <c r="G133" s="1298"/>
      <c r="H133" s="1298"/>
      <c r="I133" s="1299" t="s">
        <v>682</v>
      </c>
      <c r="J133" s="1300" t="s">
        <v>683</v>
      </c>
      <c r="K133" s="1849"/>
      <c r="L133" s="1289"/>
    </row>
    <row r="134" spans="2:12" x14ac:dyDescent="0.25">
      <c r="B134" s="1288"/>
      <c r="C134" s="1291"/>
      <c r="D134" s="1849"/>
      <c r="E134" s="1359" t="s">
        <v>800</v>
      </c>
      <c r="F134" s="2374" t="s">
        <v>801</v>
      </c>
      <c r="G134" s="2357"/>
      <c r="H134" s="2392"/>
      <c r="I134" s="1367" t="str">
        <f t="array" ref="I134">IFERROR(INDEX('ESDS-Reference Table'!$G$1:$G$493,MATCH(1,('ESDS-Reference Table'!$F$1:$F$493=E134)*('ESDS-Reference Table'!$H$1:$H$493=$F$21)*('ESDS-Reference Table'!$I$1:$I$493=$F$23),0)),"Select Region and Activity")</f>
        <v>Select Region and Activity</v>
      </c>
      <c r="J134" s="1303"/>
      <c r="K134" s="1849">
        <f>N(J134)</f>
        <v>0</v>
      </c>
      <c r="L134" s="1289"/>
    </row>
    <row r="135" spans="2:12" x14ac:dyDescent="0.25">
      <c r="B135" s="1288"/>
      <c r="C135" s="1291"/>
      <c r="D135" s="1849"/>
      <c r="E135" s="1375" t="s">
        <v>802</v>
      </c>
      <c r="F135" s="1376" t="s">
        <v>803</v>
      </c>
      <c r="G135" s="1377"/>
      <c r="H135" s="1378"/>
      <c r="I135" s="1368" t="str">
        <f t="array" ref="I135">IFERROR(INDEX('ESDS-Reference Table'!$G$1:$G$493,MATCH(1,('ESDS-Reference Table'!$F$1:$F$493=E135)*('ESDS-Reference Table'!$H$1:$H$493=$F$21)*('ESDS-Reference Table'!$I$1:$I$493=$F$23),0)),"Select Region and Activity")</f>
        <v>Select Region and Activity</v>
      </c>
      <c r="J135" s="1303"/>
      <c r="K135" s="1849"/>
      <c r="L135" s="1289"/>
    </row>
    <row r="136" spans="2:12" x14ac:dyDescent="0.25">
      <c r="B136" s="1288"/>
      <c r="C136" s="1291"/>
      <c r="D136" s="1849"/>
      <c r="E136" s="1362">
        <v>8.1999999999999993</v>
      </c>
      <c r="F136" s="2370" t="s">
        <v>804</v>
      </c>
      <c r="G136" s="2341"/>
      <c r="H136" s="2368"/>
      <c r="I136" s="1368" t="str">
        <f t="array" ref="I136">IFERROR(INDEX('ESDS-Reference Table'!$G$1:$G$493,MATCH(1,('ESDS-Reference Table'!$F$1:$F$493=E136)*('ESDS-Reference Table'!$H$1:$H$493=$F$21)*('ESDS-Reference Table'!$I$1:$I$493=$F$23),0)),"Select Region and Activity")</f>
        <v>Select Region and Activity</v>
      </c>
      <c r="J136" s="1303"/>
      <c r="K136" s="1849">
        <f>N(J136)</f>
        <v>0</v>
      </c>
      <c r="L136" s="1289"/>
    </row>
    <row r="137" spans="2:12" x14ac:dyDescent="0.25">
      <c r="B137" s="1288"/>
      <c r="C137" s="1291"/>
      <c r="D137" s="1849"/>
      <c r="E137" s="1362">
        <v>8.3000000000000007</v>
      </c>
      <c r="F137" s="2370" t="s">
        <v>805</v>
      </c>
      <c r="G137" s="2341"/>
      <c r="H137" s="2368"/>
      <c r="I137" s="1368" t="str">
        <f t="array" ref="I137">IFERROR(INDEX('ESDS-Reference Table'!$G$1:$G$493,MATCH(1,('ESDS-Reference Table'!$F$1:$F$493=E137)*('ESDS-Reference Table'!$H$1:$H$493=$F$21)*('ESDS-Reference Table'!$I$1:$I$493=$F$23),0)),"Select Region and Activity")</f>
        <v>Select Region and Activity</v>
      </c>
      <c r="J137" s="1303"/>
      <c r="K137" s="1849">
        <f>N(J137)</f>
        <v>0</v>
      </c>
      <c r="L137" s="1289"/>
    </row>
    <row r="138" spans="2:12" x14ac:dyDescent="0.25">
      <c r="B138" s="1288"/>
      <c r="C138" s="1291"/>
      <c r="D138" s="1849"/>
      <c r="E138" s="1362">
        <v>8.4</v>
      </c>
      <c r="F138" s="2367" t="s">
        <v>806</v>
      </c>
      <c r="G138" s="2341"/>
      <c r="H138" s="2368"/>
      <c r="I138" s="1368" t="str">
        <f t="array" ref="I138">IFERROR(INDEX('ESDS-Reference Table'!$G$1:$G$493,MATCH(1,('ESDS-Reference Table'!$F$1:$F$493=E138)*('ESDS-Reference Table'!$H$1:$H$493=$F$21)*('ESDS-Reference Table'!$I$1:$I$493=$F$23),0)),"Select Region and Activity")</f>
        <v>Select Region and Activity</v>
      </c>
      <c r="J138" s="1303"/>
      <c r="K138" s="1849">
        <f>N(J138)</f>
        <v>0</v>
      </c>
      <c r="L138" s="1289"/>
    </row>
    <row r="139" spans="2:12" x14ac:dyDescent="0.25">
      <c r="B139" s="1288"/>
      <c r="C139" s="1291"/>
      <c r="D139" s="1849"/>
      <c r="E139" s="1379">
        <v>8.5</v>
      </c>
      <c r="F139" s="2396" t="s">
        <v>807</v>
      </c>
      <c r="G139" s="2364"/>
      <c r="H139" s="2397"/>
      <c r="I139" s="1345" t="str">
        <f t="array" ref="I139">IFERROR(INDEX('ESDS-Reference Table'!$G$1:$G$493,MATCH(1,('ESDS-Reference Table'!$F$1:$F$493=E139)*('ESDS-Reference Table'!$H$1:$H$493=$F$21)*('ESDS-Reference Table'!$I$1:$I$493=$F$23),0)),"Select Region and Activity")</f>
        <v>Select Region and Activity</v>
      </c>
      <c r="J139" s="1303"/>
      <c r="K139" s="1849">
        <f>N(J139)</f>
        <v>0</v>
      </c>
      <c r="L139" s="1289"/>
    </row>
    <row r="140" spans="2:12" x14ac:dyDescent="0.25">
      <c r="B140" s="1288"/>
      <c r="C140" s="1291"/>
      <c r="D140" s="1849"/>
      <c r="E140" s="1309"/>
      <c r="F140" s="1310"/>
      <c r="G140" s="1311"/>
      <c r="H140" s="1311"/>
      <c r="I140" s="1312" t="s">
        <v>808</v>
      </c>
      <c r="J140" s="1313">
        <f>SUM(J134:J139)</f>
        <v>0</v>
      </c>
      <c r="K140" s="1849"/>
      <c r="L140" s="1289"/>
    </row>
    <row r="141" spans="2:12" ht="15.75" thickBot="1" x14ac:dyDescent="0.3">
      <c r="B141" s="1288"/>
      <c r="C141" s="1291"/>
      <c r="D141" s="1849"/>
      <c r="E141" s="1849"/>
      <c r="F141" s="1849"/>
      <c r="G141" s="1849"/>
      <c r="H141" s="1849"/>
      <c r="I141" s="1849"/>
      <c r="J141" s="1849"/>
      <c r="K141" s="1849"/>
      <c r="L141" s="1289"/>
    </row>
    <row r="142" spans="2:12" x14ac:dyDescent="0.25">
      <c r="B142" s="1288"/>
      <c r="C142" s="1291"/>
      <c r="D142" s="1849"/>
      <c r="E142" s="1849"/>
      <c r="F142" s="1849"/>
      <c r="G142" s="1849"/>
      <c r="H142" s="1849"/>
      <c r="I142" s="1380" t="s">
        <v>809</v>
      </c>
      <c r="J142" s="1381">
        <f>J33</f>
        <v>0</v>
      </c>
      <c r="K142" s="1849"/>
      <c r="L142" s="1289"/>
    </row>
    <row r="143" spans="2:12" x14ac:dyDescent="0.25">
      <c r="B143" s="1288"/>
      <c r="C143" s="1291"/>
      <c r="D143" s="1849"/>
      <c r="E143" s="1849"/>
      <c r="F143" s="1849"/>
      <c r="G143" s="1849"/>
      <c r="H143" s="1849"/>
      <c r="I143" s="1382" t="s">
        <v>810</v>
      </c>
      <c r="J143" s="1383">
        <f>J48</f>
        <v>0</v>
      </c>
      <c r="K143" s="1849"/>
      <c r="L143" s="1289"/>
    </row>
    <row r="144" spans="2:12" x14ac:dyDescent="0.25">
      <c r="B144" s="1288"/>
      <c r="C144" s="1291"/>
      <c r="D144" s="1849"/>
      <c r="E144" s="1849"/>
      <c r="F144" s="1849"/>
      <c r="G144" s="1849"/>
      <c r="H144" s="1849"/>
      <c r="I144" s="1382" t="s">
        <v>811</v>
      </c>
      <c r="J144" s="1383">
        <f>J60</f>
        <v>0</v>
      </c>
      <c r="K144" s="1849"/>
      <c r="L144" s="1289"/>
    </row>
    <row r="145" spans="2:12" x14ac:dyDescent="0.25">
      <c r="B145" s="1288"/>
      <c r="C145" s="1291"/>
      <c r="D145" s="1849"/>
      <c r="E145" s="1849"/>
      <c r="F145" s="1849"/>
      <c r="G145" s="1849"/>
      <c r="H145" s="1849"/>
      <c r="I145" s="1382" t="s">
        <v>812</v>
      </c>
      <c r="J145" s="1383">
        <f>J69</f>
        <v>0</v>
      </c>
      <c r="K145" s="1849"/>
      <c r="L145" s="1289"/>
    </row>
    <row r="146" spans="2:12" x14ac:dyDescent="0.25">
      <c r="B146" s="1288"/>
      <c r="C146" s="1291"/>
      <c r="D146" s="1849"/>
      <c r="E146" s="1849"/>
      <c r="F146" s="1849"/>
      <c r="G146" s="1849"/>
      <c r="H146" s="1849"/>
      <c r="I146" s="1382" t="s">
        <v>813</v>
      </c>
      <c r="J146" s="1383">
        <f>J92</f>
        <v>0</v>
      </c>
      <c r="K146" s="1849"/>
      <c r="L146" s="1289"/>
    </row>
    <row r="147" spans="2:12" x14ac:dyDescent="0.25">
      <c r="B147" s="1288"/>
      <c r="C147" s="1291"/>
      <c r="D147" s="1849"/>
      <c r="E147" s="1849"/>
      <c r="F147" s="1849"/>
      <c r="G147" s="1849"/>
      <c r="H147" s="1849"/>
      <c r="I147" s="1382" t="s">
        <v>814</v>
      </c>
      <c r="J147" s="1383">
        <f>J103</f>
        <v>0</v>
      </c>
      <c r="K147" s="1849"/>
      <c r="L147" s="1289"/>
    </row>
    <row r="148" spans="2:12" x14ac:dyDescent="0.25">
      <c r="B148" s="1288"/>
      <c r="C148" s="1291"/>
      <c r="D148" s="1849"/>
      <c r="E148" s="1849"/>
      <c r="F148" s="1849"/>
      <c r="G148" s="1849"/>
      <c r="H148" s="1849"/>
      <c r="I148" s="1382" t="s">
        <v>815</v>
      </c>
      <c r="J148" s="1383">
        <f>J129</f>
        <v>0</v>
      </c>
      <c r="K148" s="1849"/>
      <c r="L148" s="1289"/>
    </row>
    <row r="149" spans="2:12" ht="15.75" thickBot="1" x14ac:dyDescent="0.3">
      <c r="B149" s="1288"/>
      <c r="C149" s="1291"/>
      <c r="D149" s="1849"/>
      <c r="E149" s="1849"/>
      <c r="F149" s="1849"/>
      <c r="G149" s="1849"/>
      <c r="H149" s="1849"/>
      <c r="I149" s="1384" t="s">
        <v>816</v>
      </c>
      <c r="J149" s="1385">
        <f>J140</f>
        <v>0</v>
      </c>
      <c r="K149" s="1849"/>
      <c r="L149" s="1289"/>
    </row>
    <row r="150" spans="2:12" ht="16.5" thickTop="1" thickBot="1" x14ac:dyDescent="0.3">
      <c r="B150" s="1288"/>
      <c r="C150" s="1291"/>
      <c r="D150" s="1849"/>
      <c r="E150" s="1849"/>
      <c r="F150" s="1849"/>
      <c r="G150" s="1849"/>
      <c r="H150" s="1849"/>
      <c r="I150" s="1386" t="s">
        <v>817</v>
      </c>
      <c r="J150" s="1387">
        <f>SUM(J142:J149)</f>
        <v>0</v>
      </c>
      <c r="K150" s="1849"/>
      <c r="L150" s="1289"/>
    </row>
    <row r="151" spans="2:12" ht="9" customHeight="1" thickBot="1" x14ac:dyDescent="0.3">
      <c r="B151" s="1374"/>
      <c r="C151" s="1352"/>
      <c r="D151" s="1352"/>
      <c r="E151" s="1352"/>
      <c r="F151" s="1352"/>
      <c r="G151" s="1352"/>
      <c r="H151" s="1352"/>
      <c r="I151" s="1352"/>
      <c r="J151" s="1352"/>
      <c r="K151" s="1352"/>
      <c r="L151" s="1353"/>
    </row>
  </sheetData>
  <sheetProtection algorithmName="SHA-512" hashValue="3G+V1F87NJbe4JYNgAshmYzwp41xtNF0TzigEyTM1rVpQ2oILBgZTgc3erc9UGLr3Bcbw/XG6s6VC+CheMVDWg==" saltValue="Ddtbi+SrrlGiGlsegYK++g==" spinCount="100000" sheet="1" formatCells="0" formatColumns="0" formatRows="0"/>
  <dataConsolidate/>
  <mergeCells count="82">
    <mergeCell ref="F134:H134"/>
    <mergeCell ref="F136:H136"/>
    <mergeCell ref="F137:H137"/>
    <mergeCell ref="F138:H138"/>
    <mergeCell ref="F139:H139"/>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16:H116"/>
    <mergeCell ref="F98:H98"/>
    <mergeCell ref="F99:H99"/>
    <mergeCell ref="F100:H100"/>
    <mergeCell ref="F108:H108"/>
    <mergeCell ref="F109:H109"/>
    <mergeCell ref="F110:H110"/>
    <mergeCell ref="F111:H111"/>
    <mergeCell ref="F112:H112"/>
    <mergeCell ref="F113:H113"/>
    <mergeCell ref="F114:H114"/>
    <mergeCell ref="F115:H115"/>
    <mergeCell ref="F97:H97"/>
    <mergeCell ref="F82:H82"/>
    <mergeCell ref="F83:H83"/>
    <mergeCell ref="F84:H84"/>
    <mergeCell ref="F85:H85"/>
    <mergeCell ref="F86:H86"/>
    <mergeCell ref="F87:H87"/>
    <mergeCell ref="F88:H88"/>
    <mergeCell ref="F89:H89"/>
    <mergeCell ref="F90:H90"/>
    <mergeCell ref="F91:H91"/>
    <mergeCell ref="F96:H96"/>
    <mergeCell ref="F81:H81"/>
    <mergeCell ref="F59:H59"/>
    <mergeCell ref="F64:H64"/>
    <mergeCell ref="F66:H66"/>
    <mergeCell ref="F67:H67"/>
    <mergeCell ref="F74:H74"/>
    <mergeCell ref="F75:H75"/>
    <mergeCell ref="F76:H76"/>
    <mergeCell ref="F77:H77"/>
    <mergeCell ref="F78:H78"/>
    <mergeCell ref="F79:H79"/>
    <mergeCell ref="F80:H80"/>
    <mergeCell ref="F58:H58"/>
    <mergeCell ref="F43:H43"/>
    <mergeCell ref="F44:H44"/>
    <mergeCell ref="F45:H45"/>
    <mergeCell ref="F46:H46"/>
    <mergeCell ref="F47:H47"/>
    <mergeCell ref="F52:H52"/>
    <mergeCell ref="F53:H53"/>
    <mergeCell ref="F54:H54"/>
    <mergeCell ref="F55:H55"/>
    <mergeCell ref="F56:H56"/>
    <mergeCell ref="F57:H57"/>
    <mergeCell ref="F42:H42"/>
    <mergeCell ref="F27:H27"/>
    <mergeCell ref="F28:H28"/>
    <mergeCell ref="F29:H29"/>
    <mergeCell ref="F30:H30"/>
    <mergeCell ref="F31:H31"/>
    <mergeCell ref="F32:H32"/>
    <mergeCell ref="F37:H37"/>
    <mergeCell ref="F38:H38"/>
    <mergeCell ref="F39:H39"/>
    <mergeCell ref="F40:H40"/>
    <mergeCell ref="F41:H41"/>
    <mergeCell ref="C13:J13"/>
    <mergeCell ref="D15:J15"/>
    <mergeCell ref="F18:I18"/>
    <mergeCell ref="F21:G21"/>
    <mergeCell ref="F23:G23"/>
  </mergeCells>
  <conditionalFormatting sqref="J74:J91">
    <cfRule type="expression" dxfId="111" priority="10">
      <formula>I74="n/a"</formula>
    </cfRule>
  </conditionalFormatting>
  <conditionalFormatting sqref="J27">
    <cfRule type="expression" dxfId="110" priority="17">
      <formula>I27="n/a"</formula>
    </cfRule>
  </conditionalFormatting>
  <conditionalFormatting sqref="J28">
    <cfRule type="expression" dxfId="109" priority="16">
      <formula>I28="n/a"</formula>
    </cfRule>
  </conditionalFormatting>
  <conditionalFormatting sqref="J29">
    <cfRule type="expression" dxfId="108" priority="15">
      <formula>I29="n/a"</formula>
    </cfRule>
  </conditionalFormatting>
  <conditionalFormatting sqref="J30:J32">
    <cfRule type="expression" dxfId="107" priority="14">
      <formula>I30="n/a"</formula>
    </cfRule>
  </conditionalFormatting>
  <conditionalFormatting sqref="J37:J47">
    <cfRule type="expression" dxfId="106" priority="13">
      <formula>I37="n/a"</formula>
    </cfRule>
  </conditionalFormatting>
  <conditionalFormatting sqref="J52:J59">
    <cfRule type="expression" dxfId="105" priority="12">
      <formula>I52="n/a"</formula>
    </cfRule>
  </conditionalFormatting>
  <conditionalFormatting sqref="J64:J68">
    <cfRule type="expression" dxfId="104" priority="11">
      <formula>I64="n/a"</formula>
    </cfRule>
  </conditionalFormatting>
  <conditionalFormatting sqref="J96:J102">
    <cfRule type="expression" dxfId="103" priority="9">
      <formula>I96="n/a"</formula>
    </cfRule>
  </conditionalFormatting>
  <conditionalFormatting sqref="J108:J128">
    <cfRule type="expression" dxfId="102" priority="8">
      <formula>I108="n/a"</formula>
    </cfRule>
  </conditionalFormatting>
  <conditionalFormatting sqref="J134:J139">
    <cfRule type="expression" dxfId="101" priority="7">
      <formula>I134="n/a"</formula>
    </cfRule>
  </conditionalFormatting>
  <conditionalFormatting sqref="G22 G24">
    <cfRule type="expression" dxfId="100" priority="19">
      <formula>$F$23&lt;&gt;"Rehab"</formula>
    </cfRule>
  </conditionalFormatting>
  <conditionalFormatting sqref="H24">
    <cfRule type="expression" dxfId="99" priority="22">
      <formula>$F$23&lt;&gt;"Rehab"</formula>
    </cfRule>
  </conditionalFormatting>
  <conditionalFormatting sqref="D15 C15:C69">
    <cfRule type="expression" dxfId="98" priority="20">
      <formula>$F$21="Rural"</formula>
    </cfRule>
    <cfRule type="expression" dxfId="97" priority="21">
      <formula>$F$21="Urban"</formula>
    </cfRule>
  </conditionalFormatting>
  <conditionalFormatting sqref="C72:C129">
    <cfRule type="expression" dxfId="96" priority="3">
      <formula>$F$21="Rural"</formula>
    </cfRule>
    <cfRule type="expression" dxfId="95" priority="4">
      <formula>$F$21="Urban"</formula>
    </cfRule>
  </conditionalFormatting>
  <conditionalFormatting sqref="C132:C150">
    <cfRule type="expression" dxfId="94" priority="1">
      <formula>$F$21="Rural"</formula>
    </cfRule>
    <cfRule type="expression" dxfId="93" priority="2">
      <formula>$F$21="Urban"</formula>
    </cfRule>
  </conditionalFormatting>
  <dataValidations disablePrompts="1" count="37">
    <dataValidation type="list" allowBlank="1" showInputMessage="1" showErrorMessage="1" sqref="J124" xr:uid="{00000000-0002-0000-0A00-000000000000}">
      <formula1>INDIRECT($F$21&amp;(SUBSTITUTE(F23," ",""))&amp;$E$124)</formula1>
    </dataValidation>
    <dataValidation type="list" allowBlank="1" showInputMessage="1" showErrorMessage="1" sqref="J114" xr:uid="{00000000-0002-0000-0A00-000001000000}">
      <formula1>INDIRECT($F$21&amp;(SUBSTITUTE(F23," ",""))&amp;$E$114)</formula1>
    </dataValidation>
    <dataValidation type="list" allowBlank="1" showInputMessage="1" showErrorMessage="1" sqref="J112" xr:uid="{00000000-0002-0000-0A00-000002000000}">
      <formula1>INDIRECT($F$21&amp;(SUBSTITUTE(F23," ",""))&amp;$E$112)</formula1>
    </dataValidation>
    <dataValidation type="list" allowBlank="1" showInputMessage="1" showErrorMessage="1" sqref="J91" xr:uid="{00000000-0002-0000-0A00-000003000000}">
      <formula1>INDIRECT($F$21&amp;(SUBSTITUTE(F23," ",""))&amp;$E$91)</formula1>
    </dataValidation>
    <dataValidation type="list" allowBlank="1" showInputMessage="1" showErrorMessage="1" sqref="J90" xr:uid="{00000000-0002-0000-0A00-000004000000}">
      <formula1>INDIRECT($F$21&amp;(SUBSTITUTE(F23," ",""))&amp;$E$90)</formula1>
    </dataValidation>
    <dataValidation type="list" allowBlank="1" showInputMessage="1" showErrorMessage="1" sqref="J89" xr:uid="{00000000-0002-0000-0A00-000005000000}">
      <formula1>INDIRECT($F$21&amp;(SUBSTITUTE(F23," ",""))&amp;$E$89)</formula1>
    </dataValidation>
    <dataValidation type="list" allowBlank="1" showInputMessage="1" showErrorMessage="1" sqref="J88" xr:uid="{00000000-0002-0000-0A00-000006000000}">
      <formula1>INDIRECT($F$21&amp;(SUBSTITUTE(F23," ",""))&amp;$E$88)</formula1>
    </dataValidation>
    <dataValidation type="list" allowBlank="1" showInputMessage="1" showErrorMessage="1" sqref="J86" xr:uid="{00000000-0002-0000-0A00-000007000000}">
      <formula1>INDIRECT($F$21&amp;(SUBSTITUTE(F23," ",""))&amp;$E$86)</formula1>
    </dataValidation>
    <dataValidation type="list" allowBlank="1" showInputMessage="1" showErrorMessage="1" sqref="J84" xr:uid="{00000000-0002-0000-0A00-000008000000}">
      <formula1>INDIRECT($F$21&amp;(SUBSTITUTE(F23," ",""))&amp;$E$84)</formula1>
    </dataValidation>
    <dataValidation type="list" allowBlank="1" showInputMessage="1" showErrorMessage="1" sqref="J83" xr:uid="{00000000-0002-0000-0A00-000009000000}">
      <formula1>INDIRECT($F$21&amp;(SUBSTITUTE(F23," ",""))&amp;$E$83)</formula1>
    </dataValidation>
    <dataValidation type="list" allowBlank="1" showInputMessage="1" showErrorMessage="1" sqref="J77" xr:uid="{00000000-0002-0000-0A00-00000A000000}">
      <formula1>INDIRECT($F$21&amp;(SUBSTITUTE(F23," ",""))&amp;$E$77)</formula1>
    </dataValidation>
    <dataValidation type="list" allowBlank="1" showInputMessage="1" showErrorMessage="1" sqref="J75" xr:uid="{00000000-0002-0000-0A00-00000B000000}">
      <formula1>INDIRECT($F$21&amp;(SUBSTITUTE(F23," ",""))&amp;$E$75)</formula1>
    </dataValidation>
    <dataValidation type="list" allowBlank="1" showInputMessage="1" showErrorMessage="1" sqref="J76" xr:uid="{00000000-0002-0000-0A00-00000C000000}">
      <formula1>INDIRECT($F$21&amp;(SUBSTITUTE(F23," ",""))&amp;$E$76)</formula1>
    </dataValidation>
    <dataValidation type="list" allowBlank="1" showInputMessage="1" showErrorMessage="1" sqref="J66" xr:uid="{00000000-0002-0000-0A00-00000D000000}">
      <formula1>INDIRECT($F$21&amp;(SUBSTITUTE(F23," ",""))&amp;$E$66)</formula1>
    </dataValidation>
    <dataValidation type="list" allowBlank="1" showInputMessage="1" showErrorMessage="1" sqref="J44" xr:uid="{00000000-0002-0000-0A00-00000E000000}">
      <formula1>INDIRECT($F$21&amp;(SUBSTITUTE(F23," ",""))&amp;$E$44)</formula1>
    </dataValidation>
    <dataValidation type="list" allowBlank="1" showInputMessage="1" showErrorMessage="1" sqref="J38" xr:uid="{00000000-0002-0000-0A00-00000F000000}">
      <formula1>INDIRECT($F$21&amp;(SUBSTITUTE(F23," ",""))&amp;$E$38)</formula1>
    </dataValidation>
    <dataValidation type="list" allowBlank="1" showInputMessage="1" showErrorMessage="1" sqref="F21:G21" xr:uid="{00000000-0002-0000-0A00-000010000000}">
      <formula1>Region</formula1>
    </dataValidation>
    <dataValidation type="list" allowBlank="1" showInputMessage="1" showErrorMessage="1" sqref="F23:G23" xr:uid="{00000000-0002-0000-0A00-000011000000}">
      <formula1>Type</formula1>
    </dataValidation>
    <dataValidation type="list" allowBlank="1" showInputMessage="1" showErrorMessage="1" sqref="J27 J30 J37 J39 J42:J43 J52:J54 J57 J59 J64 J74 J79 J81:J82 J87 J96:J97 J108:J109 J111 J113 J115:J123 J125:J128 J134 J136:J137 J139" xr:uid="{00000000-0002-0000-0A00-000012000000}">
      <formula1>"x,n/a"</formula1>
    </dataValidation>
    <dataValidation type="list" allowBlank="1" showInputMessage="1" showErrorMessage="1" sqref="J138" xr:uid="{00000000-0002-0000-0A00-000013000000}">
      <formula1>"0,3,5,8"</formula1>
    </dataValidation>
    <dataValidation type="list" allowBlank="1" showInputMessage="1" showErrorMessage="1" sqref="J110" xr:uid="{00000000-0002-0000-0A00-000014000000}">
      <formula1>"0,6"</formula1>
    </dataValidation>
    <dataValidation type="list" allowBlank="1" showInputMessage="1" showErrorMessage="1" sqref="J99" xr:uid="{00000000-0002-0000-0A00-000015000000}">
      <formula1>"0,0.5,1,1.5,2,2.5,3,3.5,4,4.5,5,5.5,6,6.5,7,7.5,8,8.5,9,9.5,10"</formula1>
    </dataValidation>
    <dataValidation type="list" allowBlank="1" showInputMessage="1" showErrorMessage="1" sqref="J85" xr:uid="{00000000-0002-0000-0A00-000016000000}">
      <formula1>"0,1"</formula1>
    </dataValidation>
    <dataValidation type="list" allowBlank="1" showInputMessage="1" showErrorMessage="1" sqref="J78" xr:uid="{00000000-0002-0000-0A00-000017000000}">
      <formula1>"0,1,2,3,4"</formula1>
    </dataValidation>
    <dataValidation type="list" allowBlank="1" showInputMessage="1" showErrorMessage="1" sqref="J68 J135" xr:uid="{00000000-0002-0000-0A00-000018000000}">
      <formula1>"0,7"</formula1>
    </dataValidation>
    <dataValidation type="list" allowBlank="1" showInputMessage="1" showErrorMessage="1" sqref="J67" xr:uid="{00000000-0002-0000-0A00-000019000000}">
      <formula1>"0,1,2,4,6,8,10,12"</formula1>
    </dataValidation>
    <dataValidation type="list" allowBlank="1" showInputMessage="1" showErrorMessage="1" sqref="J65" xr:uid="{00000000-0002-0000-0A00-00001A000000}">
      <formula1>"0,1,2,3,4,5,6"</formula1>
    </dataValidation>
    <dataValidation type="list" allowBlank="1" showInputMessage="1" showErrorMessage="1" sqref="J58" xr:uid="{00000000-0002-0000-0A00-00001B000000}">
      <formula1>"0,2,4,6"</formula1>
    </dataValidation>
    <dataValidation type="list" allowBlank="1" showInputMessage="1" showErrorMessage="1" sqref="J56 J98" xr:uid="{00000000-0002-0000-0A00-00001C000000}">
      <formula1>"0,1,2,3,4,5"</formula1>
    </dataValidation>
    <dataValidation type="list" allowBlank="1" showInputMessage="1" showErrorMessage="1" sqref="J47 J80" xr:uid="{00000000-0002-0000-0A00-00001D000000}">
      <formula1>"0,3"</formula1>
    </dataValidation>
    <dataValidation type="list" allowBlank="1" showInputMessage="1" showErrorMessage="1" sqref="J45 J100:J101" xr:uid="{00000000-0002-0000-0A00-00001E000000}">
      <formula1>"0,2"</formula1>
    </dataValidation>
    <dataValidation type="list" allowBlank="1" showInputMessage="1" showErrorMessage="1" sqref="J41" xr:uid="{00000000-0002-0000-0A00-00001F000000}">
      <formula1>"X,n/a,5"</formula1>
    </dataValidation>
    <dataValidation type="list" allowBlank="1" showInputMessage="1" showErrorMessage="1" sqref="J40 J46 J55" xr:uid="{00000000-0002-0000-0A00-000020000000}">
      <formula1>"0,5"</formula1>
    </dataValidation>
    <dataValidation type="list" allowBlank="1" showInputMessage="1" showErrorMessage="1" sqref="J32" xr:uid="{00000000-0002-0000-0A00-000021000000}">
      <formula1>"0,3,6"</formula1>
    </dataValidation>
    <dataValidation type="list" allowBlank="1" showInputMessage="1" showErrorMessage="1" sqref="J31" xr:uid="{00000000-0002-0000-0A00-000022000000}">
      <formula1>"0,2,4,6,8,10,12"</formula1>
    </dataValidation>
    <dataValidation type="list" allowBlank="1" showInputMessage="1" showErrorMessage="1" sqref="J29 J102" xr:uid="{00000000-0002-0000-0A00-000023000000}">
      <formula1>"0,1,2,3"</formula1>
    </dataValidation>
    <dataValidation type="list" allowBlank="1" showInputMessage="1" showErrorMessage="1" sqref="J28" xr:uid="{00000000-0002-0000-0A00-000024000000}">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v3.0.1)&amp;CCFA Forms</oddFooter>
  </headerFooter>
  <rowBreaks count="2" manualBreakCount="2">
    <brk id="70" min="1" max="9" man="1"/>
    <brk id="130" min="1"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4:H57"/>
  <sheetViews>
    <sheetView showGridLines="0" topLeftCell="A13" zoomScaleNormal="100" workbookViewId="0">
      <selection activeCell="M27" sqref="M27"/>
    </sheetView>
  </sheetViews>
  <sheetFormatPr defaultColWidth="9.140625" defaultRowHeight="15" x14ac:dyDescent="0.25"/>
  <cols>
    <col min="1" max="2" width="1.7109375" style="395" customWidth="1"/>
    <col min="3" max="3" width="42.5703125" style="395" customWidth="1"/>
    <col min="4" max="4" width="11" style="395" customWidth="1"/>
    <col min="5" max="5" width="19.42578125" style="395" bestFit="1" customWidth="1"/>
    <col min="6" max="6" width="10.140625" style="395" customWidth="1"/>
    <col min="7" max="7" width="11" style="395" customWidth="1"/>
    <col min="8" max="8" width="1.7109375" style="395" customWidth="1"/>
    <col min="9" max="16384" width="9.140625" style="395"/>
  </cols>
  <sheetData>
    <row r="14" spans="2:8" ht="9" customHeight="1" thickBot="1" x14ac:dyDescent="0.3"/>
    <row r="15" spans="2:8" ht="9" customHeight="1" x14ac:dyDescent="0.25">
      <c r="B15" s="423"/>
      <c r="C15" s="424"/>
      <c r="D15" s="424"/>
      <c r="E15" s="424"/>
      <c r="F15" s="424"/>
      <c r="G15" s="424"/>
      <c r="H15" s="425"/>
    </row>
    <row r="16" spans="2:8" ht="18.75" x14ac:dyDescent="0.3">
      <c r="B16" s="426"/>
      <c r="C16" s="2293" t="s">
        <v>68</v>
      </c>
      <c r="D16" s="2293"/>
      <c r="E16" s="2293"/>
      <c r="F16" s="2293"/>
      <c r="G16" s="2293"/>
      <c r="H16" s="427"/>
    </row>
    <row r="17" spans="2:8" x14ac:dyDescent="0.25">
      <c r="B17" s="426"/>
      <c r="C17" s="428"/>
      <c r="D17" s="406"/>
      <c r="E17" s="406"/>
      <c r="F17" s="406"/>
      <c r="G17" s="406"/>
      <c r="H17" s="427"/>
    </row>
    <row r="18" spans="2:8" ht="15.75" thickBot="1" x14ac:dyDescent="0.3">
      <c r="B18" s="426"/>
      <c r="C18" s="2407" t="str">
        <f>IF('1'!G5="","Enter Project Name on Form 1",(CONCATENATE("Project Name: ",'1'!G5)))</f>
        <v>Enter Project Name on Form 1</v>
      </c>
      <c r="D18" s="2407"/>
      <c r="E18" s="2407"/>
      <c r="F18" s="2407"/>
      <c r="G18" s="407"/>
      <c r="H18" s="427"/>
    </row>
    <row r="19" spans="2:8" ht="15.75" thickBot="1" x14ac:dyDescent="0.3">
      <c r="B19" s="426"/>
      <c r="C19" s="428"/>
      <c r="D19" s="406"/>
      <c r="E19" s="406"/>
      <c r="F19" s="406"/>
      <c r="G19" s="406"/>
      <c r="H19" s="427"/>
    </row>
    <row r="20" spans="2:8" ht="30" x14ac:dyDescent="0.25">
      <c r="B20" s="426"/>
      <c r="C20" s="1059" t="s">
        <v>69</v>
      </c>
      <c r="D20" s="1060" t="s">
        <v>70</v>
      </c>
      <c r="E20" s="1061" t="s">
        <v>71</v>
      </c>
      <c r="F20" s="1060" t="s">
        <v>72</v>
      </c>
      <c r="G20" s="1062" t="s">
        <v>595</v>
      </c>
      <c r="H20" s="427"/>
    </row>
    <row r="21" spans="2:8" x14ac:dyDescent="0.25">
      <c r="B21" s="426"/>
      <c r="C21" s="1055" t="s">
        <v>541</v>
      </c>
      <c r="D21" s="845" t="s">
        <v>541</v>
      </c>
      <c r="E21" s="846" t="s">
        <v>541</v>
      </c>
      <c r="F21" s="845" t="s">
        <v>541</v>
      </c>
      <c r="G21" s="1057"/>
      <c r="H21" s="427"/>
    </row>
    <row r="22" spans="2:8" x14ac:dyDescent="0.25">
      <c r="B22" s="426"/>
      <c r="C22" s="1056"/>
      <c r="D22" s="1029"/>
      <c r="E22" s="1030"/>
      <c r="F22" s="1029"/>
      <c r="G22" s="1058"/>
      <c r="H22" s="427"/>
    </row>
    <row r="23" spans="2:8" x14ac:dyDescent="0.25">
      <c r="B23" s="426"/>
      <c r="C23" s="2282"/>
      <c r="D23" s="2283"/>
      <c r="E23" s="2284"/>
      <c r="F23" s="2283"/>
      <c r="G23" s="2285"/>
      <c r="H23" s="427"/>
    </row>
    <row r="24" spans="2:8" x14ac:dyDescent="0.25">
      <c r="B24" s="426"/>
      <c r="C24" s="2282"/>
      <c r="D24" s="2283"/>
      <c r="E24" s="2284"/>
      <c r="F24" s="2283"/>
      <c r="G24" s="2285"/>
      <c r="H24" s="427"/>
    </row>
    <row r="25" spans="2:8" x14ac:dyDescent="0.25">
      <c r="B25" s="426"/>
      <c r="C25" s="2282"/>
      <c r="D25" s="2283"/>
      <c r="E25" s="2284"/>
      <c r="F25" s="2283"/>
      <c r="G25" s="2285"/>
      <c r="H25" s="427"/>
    </row>
    <row r="26" spans="2:8" x14ac:dyDescent="0.25">
      <c r="B26" s="426"/>
      <c r="C26" s="2282"/>
      <c r="D26" s="2283"/>
      <c r="E26" s="2284"/>
      <c r="F26" s="2283"/>
      <c r="G26" s="2285"/>
      <c r="H26" s="427"/>
    </row>
    <row r="27" spans="2:8" x14ac:dyDescent="0.25">
      <c r="B27" s="426"/>
      <c r="C27" s="2282"/>
      <c r="D27" s="2283"/>
      <c r="E27" s="2284"/>
      <c r="F27" s="2283"/>
      <c r="G27" s="2285"/>
      <c r="H27" s="427"/>
    </row>
    <row r="28" spans="2:8" x14ac:dyDescent="0.25">
      <c r="B28" s="426"/>
      <c r="C28" s="2282"/>
      <c r="D28" s="2283"/>
      <c r="E28" s="2284"/>
      <c r="F28" s="2283"/>
      <c r="G28" s="2285"/>
      <c r="H28" s="427"/>
    </row>
    <row r="29" spans="2:8" x14ac:dyDescent="0.25">
      <c r="B29" s="426"/>
      <c r="C29" s="2282"/>
      <c r="D29" s="2283"/>
      <c r="E29" s="2284"/>
      <c r="F29" s="2283"/>
      <c r="G29" s="2285"/>
      <c r="H29" s="427"/>
    </row>
    <row r="30" spans="2:8" x14ac:dyDescent="0.25">
      <c r="B30" s="426"/>
      <c r="C30" s="2282"/>
      <c r="D30" s="2283"/>
      <c r="E30" s="2284"/>
      <c r="F30" s="2283"/>
      <c r="G30" s="2285"/>
      <c r="H30" s="427"/>
    </row>
    <row r="31" spans="2:8" x14ac:dyDescent="0.25">
      <c r="B31" s="426"/>
      <c r="C31" s="2282"/>
      <c r="D31" s="2283"/>
      <c r="E31" s="2284"/>
      <c r="F31" s="2283"/>
      <c r="G31" s="2285"/>
      <c r="H31" s="427"/>
    </row>
    <row r="32" spans="2:8" x14ac:dyDescent="0.25">
      <c r="B32" s="426"/>
      <c r="C32" s="1056"/>
      <c r="D32" s="1029"/>
      <c r="E32" s="1030"/>
      <c r="F32" s="1029"/>
      <c r="G32" s="1058"/>
      <c r="H32" s="427"/>
    </row>
    <row r="33" spans="2:8" x14ac:dyDescent="0.25">
      <c r="B33" s="426"/>
      <c r="C33" s="1056"/>
      <c r="D33" s="1029"/>
      <c r="E33" s="1030"/>
      <c r="F33" s="1029"/>
      <c r="G33" s="1058"/>
      <c r="H33" s="427"/>
    </row>
    <row r="34" spans="2:8" x14ac:dyDescent="0.25">
      <c r="B34" s="426"/>
      <c r="C34" s="1056"/>
      <c r="D34" s="1029"/>
      <c r="E34" s="1030"/>
      <c r="F34" s="1029"/>
      <c r="G34" s="1058"/>
      <c r="H34" s="427"/>
    </row>
    <row r="35" spans="2:8" x14ac:dyDescent="0.25">
      <c r="B35" s="426"/>
      <c r="C35" s="1056"/>
      <c r="D35" s="1029"/>
      <c r="E35" s="1030"/>
      <c r="F35" s="1029"/>
      <c r="G35" s="1058"/>
      <c r="H35" s="427"/>
    </row>
    <row r="36" spans="2:8" x14ac:dyDescent="0.25">
      <c r="B36" s="426"/>
      <c r="C36" s="1056"/>
      <c r="D36" s="1029"/>
      <c r="E36" s="1030"/>
      <c r="F36" s="1029"/>
      <c r="G36" s="1058"/>
      <c r="H36" s="427"/>
    </row>
    <row r="37" spans="2:8" x14ac:dyDescent="0.25">
      <c r="B37" s="426"/>
      <c r="C37" s="1056"/>
      <c r="D37" s="1029"/>
      <c r="E37" s="1030"/>
      <c r="F37" s="1029"/>
      <c r="G37" s="1058"/>
      <c r="H37" s="427"/>
    </row>
    <row r="38" spans="2:8" x14ac:dyDescent="0.25">
      <c r="B38" s="426"/>
      <c r="C38" s="1056"/>
      <c r="D38" s="1029"/>
      <c r="E38" s="1030"/>
      <c r="F38" s="1029"/>
      <c r="G38" s="1058"/>
      <c r="H38" s="427"/>
    </row>
    <row r="39" spans="2:8" x14ac:dyDescent="0.25">
      <c r="B39" s="426"/>
      <c r="C39" s="1056"/>
      <c r="D39" s="1029"/>
      <c r="E39" s="1030"/>
      <c r="F39" s="1029"/>
      <c r="G39" s="1058"/>
      <c r="H39" s="427"/>
    </row>
    <row r="40" spans="2:8" ht="15.75" thickBot="1" x14ac:dyDescent="0.3">
      <c r="B40" s="426"/>
      <c r="C40" s="1523"/>
      <c r="D40" s="1524"/>
      <c r="E40" s="1525"/>
      <c r="F40" s="1524"/>
      <c r="G40" s="1526"/>
      <c r="H40" s="427"/>
    </row>
    <row r="41" spans="2:8" ht="17.25" customHeight="1" thickTop="1" thickBot="1" x14ac:dyDescent="0.3">
      <c r="B41" s="426"/>
      <c r="C41" s="406"/>
      <c r="D41" s="406"/>
      <c r="E41" s="406"/>
      <c r="F41" s="2155" t="s">
        <v>1778</v>
      </c>
      <c r="G41" s="433">
        <f>SUM(G21:G40)</f>
        <v>0</v>
      </c>
      <c r="H41" s="427"/>
    </row>
    <row r="42" spans="2:8" ht="17.25" customHeight="1" thickTop="1" x14ac:dyDescent="0.25">
      <c r="B42" s="426"/>
      <c r="C42" s="406"/>
      <c r="D42" s="406"/>
      <c r="E42" s="2408" t="str">
        <f>IF(AND(G41&lt;&gt;'2A'!I22,G41&lt;&gt;0),"WARNING: Total Low Income Units does not match Form 2A","")</f>
        <v/>
      </c>
      <c r="F42" s="2408"/>
      <c r="G42" s="2408"/>
      <c r="H42" s="427"/>
    </row>
    <row r="43" spans="2:8" x14ac:dyDescent="0.25">
      <c r="B43" s="426"/>
      <c r="C43" s="429" t="s">
        <v>73</v>
      </c>
      <c r="D43" s="406"/>
      <c r="E43" s="2409"/>
      <c r="F43" s="2409"/>
      <c r="G43" s="2409"/>
      <c r="H43" s="427"/>
    </row>
    <row r="44" spans="2:8" x14ac:dyDescent="0.25">
      <c r="B44" s="426"/>
      <c r="C44" s="2398"/>
      <c r="D44" s="2399"/>
      <c r="E44" s="2399"/>
      <c r="F44" s="2399"/>
      <c r="G44" s="2400"/>
      <c r="H44" s="427"/>
    </row>
    <row r="45" spans="2:8" x14ac:dyDescent="0.25">
      <c r="B45" s="426"/>
      <c r="C45" s="2401"/>
      <c r="D45" s="2402"/>
      <c r="E45" s="2402"/>
      <c r="F45" s="2402"/>
      <c r="G45" s="2403"/>
      <c r="H45" s="427"/>
    </row>
    <row r="46" spans="2:8" x14ac:dyDescent="0.25">
      <c r="B46" s="426"/>
      <c r="C46" s="2401"/>
      <c r="D46" s="2402"/>
      <c r="E46" s="2402"/>
      <c r="F46" s="2402"/>
      <c r="G46" s="2403"/>
      <c r="H46" s="427"/>
    </row>
    <row r="47" spans="2:8" x14ac:dyDescent="0.25">
      <c r="B47" s="426"/>
      <c r="C47" s="2401"/>
      <c r="D47" s="2402"/>
      <c r="E47" s="2402"/>
      <c r="F47" s="2402"/>
      <c r="G47" s="2403"/>
      <c r="H47" s="427"/>
    </row>
    <row r="48" spans="2:8" x14ac:dyDescent="0.25">
      <c r="B48" s="426"/>
      <c r="C48" s="2401"/>
      <c r="D48" s="2402"/>
      <c r="E48" s="2402"/>
      <c r="F48" s="2402"/>
      <c r="G48" s="2403"/>
      <c r="H48" s="427"/>
    </row>
    <row r="49" spans="2:8" x14ac:dyDescent="0.25">
      <c r="B49" s="426"/>
      <c r="C49" s="2401"/>
      <c r="D49" s="2402"/>
      <c r="E49" s="2402"/>
      <c r="F49" s="2402"/>
      <c r="G49" s="2403"/>
      <c r="H49" s="427"/>
    </row>
    <row r="50" spans="2:8" x14ac:dyDescent="0.25">
      <c r="B50" s="426"/>
      <c r="C50" s="2401"/>
      <c r="D50" s="2402"/>
      <c r="E50" s="2402"/>
      <c r="F50" s="2402"/>
      <c r="G50" s="2403"/>
      <c r="H50" s="427"/>
    </row>
    <row r="51" spans="2:8" x14ac:dyDescent="0.25">
      <c r="B51" s="426"/>
      <c r="C51" s="2401"/>
      <c r="D51" s="2402"/>
      <c r="E51" s="2402"/>
      <c r="F51" s="2402"/>
      <c r="G51" s="2403"/>
      <c r="H51" s="427"/>
    </row>
    <row r="52" spans="2:8" x14ac:dyDescent="0.25">
      <c r="B52" s="426"/>
      <c r="C52" s="2401"/>
      <c r="D52" s="2402"/>
      <c r="E52" s="2402"/>
      <c r="F52" s="2402"/>
      <c r="G52" s="2403"/>
      <c r="H52" s="427"/>
    </row>
    <row r="53" spans="2:8" x14ac:dyDescent="0.25">
      <c r="B53" s="426"/>
      <c r="C53" s="2401"/>
      <c r="D53" s="2402"/>
      <c r="E53" s="2402"/>
      <c r="F53" s="2402"/>
      <c r="G53" s="2403"/>
      <c r="H53" s="427"/>
    </row>
    <row r="54" spans="2:8" x14ac:dyDescent="0.25">
      <c r="B54" s="426"/>
      <c r="C54" s="2401"/>
      <c r="D54" s="2402"/>
      <c r="E54" s="2402"/>
      <c r="F54" s="2402"/>
      <c r="G54" s="2403"/>
      <c r="H54" s="427"/>
    </row>
    <row r="55" spans="2:8" x14ac:dyDescent="0.25">
      <c r="B55" s="426"/>
      <c r="C55" s="2401"/>
      <c r="D55" s="2402"/>
      <c r="E55" s="2402"/>
      <c r="F55" s="2402"/>
      <c r="G55" s="2403"/>
      <c r="H55" s="427"/>
    </row>
    <row r="56" spans="2:8" ht="9" customHeight="1" x14ac:dyDescent="0.25">
      <c r="B56" s="426"/>
      <c r="C56" s="2404"/>
      <c r="D56" s="2405"/>
      <c r="E56" s="2405"/>
      <c r="F56" s="2405"/>
      <c r="G56" s="2406"/>
      <c r="H56" s="427"/>
    </row>
    <row r="57" spans="2:8" ht="15.75" thickBot="1" x14ac:dyDescent="0.3">
      <c r="B57" s="430"/>
      <c r="C57" s="431"/>
      <c r="D57" s="431"/>
      <c r="E57" s="431"/>
      <c r="F57" s="431"/>
      <c r="G57" s="431"/>
      <c r="H57" s="432"/>
    </row>
  </sheetData>
  <sheetProtection algorithmName="SHA-512" hashValue="ABtUHycUuvm+KafCpJ+nV0NHz1jjVsr0X69it4MNXThJgnyKifCW9Hssbgm0y94W6xU5TfeiYmrDAERJQO2wjA==" saltValue="wDApltswdG6TovrpRtuT6w==" spinCount="100000" sheet="1" formatCells="0" formatColumns="0" formatRows="0"/>
  <mergeCells count="4">
    <mergeCell ref="C16:G16"/>
    <mergeCell ref="C44:G56"/>
    <mergeCell ref="C18:F18"/>
    <mergeCell ref="E42:G43"/>
  </mergeCells>
  <conditionalFormatting sqref="E42:G43">
    <cfRule type="containsText" dxfId="92" priority="1" operator="containsText" text="warning">
      <formula>NOT(ISERROR(SEARCH("warning",E42)))</formula>
    </cfRule>
  </conditionalFormatting>
  <dataValidations count="4">
    <dataValidation type="list" allowBlank="1" showInputMessage="1" showErrorMessage="1" sqref="E21:E40" xr:uid="{00000000-0002-0000-0B00-000000000000}">
      <formula1>Res_Type</formula1>
    </dataValidation>
    <dataValidation type="list" allowBlank="1" showInputMessage="1" showErrorMessage="1" sqref="C21:C40" xr:uid="{00000000-0002-0000-0B00-000001000000}">
      <formula1>Population_Types</formula1>
    </dataValidation>
    <dataValidation type="list" allowBlank="1" showInputMessage="1" showErrorMessage="1" sqref="F21:F40" xr:uid="{00000000-0002-0000-0B00-000002000000}">
      <formula1>Units_or_Beds</formula1>
    </dataValidation>
    <dataValidation type="list" allowBlank="1" showInputMessage="1" showErrorMessage="1" sqref="D21:D40" xr:uid="{00000000-0002-0000-0B00-000003000000}">
      <formula1>Yes_or_No</formula1>
    </dataValidation>
  </dataValidations>
  <pageMargins left="0.7" right="0.7" top="0.75" bottom="0.75" header="0.3" footer="0.3"/>
  <pageSetup scale="92" orientation="portrait" r:id="rId1"/>
  <headerFooter>
    <oddFooter>&amp;LForm 3
Populations to be Served&amp;CCFA Forms</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34"/>
  <sheetViews>
    <sheetView showGridLines="0" zoomScaleNormal="100" workbookViewId="0">
      <selection activeCell="H33" sqref="H33"/>
    </sheetView>
  </sheetViews>
  <sheetFormatPr defaultColWidth="9.140625" defaultRowHeight="15" x14ac:dyDescent="0.25"/>
  <cols>
    <col min="1" max="1" width="1.7109375" style="395" customWidth="1"/>
    <col min="2" max="2" width="1.7109375" style="414" customWidth="1"/>
    <col min="3" max="3" width="32" style="395" customWidth="1"/>
    <col min="4" max="4" width="20" style="395" customWidth="1"/>
    <col min="5" max="5" width="11.42578125" style="395" customWidth="1"/>
    <col min="6" max="7" width="21.42578125" style="395" customWidth="1"/>
    <col min="8" max="8" width="1.7109375" style="414" customWidth="1"/>
    <col min="9" max="16384" width="9.140625" style="395"/>
  </cols>
  <sheetData>
    <row r="1" spans="2:8" ht="9" customHeight="1" thickBot="1" x14ac:dyDescent="0.3"/>
    <row r="2" spans="2:8" ht="9" customHeight="1" x14ac:dyDescent="0.25">
      <c r="B2" s="434"/>
      <c r="C2" s="435"/>
      <c r="D2" s="435"/>
      <c r="E2" s="435"/>
      <c r="F2" s="435"/>
      <c r="G2" s="1558"/>
      <c r="H2" s="436"/>
    </row>
    <row r="3" spans="2:8" ht="18.75" x14ac:dyDescent="0.3">
      <c r="B3" s="437"/>
      <c r="C3" s="2411" t="s">
        <v>74</v>
      </c>
      <c r="D3" s="2411"/>
      <c r="E3" s="2411"/>
      <c r="F3" s="2411"/>
      <c r="G3" s="2411"/>
      <c r="H3" s="438"/>
    </row>
    <row r="4" spans="2:8" x14ac:dyDescent="0.25">
      <c r="B4" s="437"/>
      <c r="C4" s="407"/>
      <c r="D4" s="407"/>
      <c r="E4" s="407"/>
      <c r="F4" s="407"/>
      <c r="G4" s="1869"/>
      <c r="H4" s="438"/>
    </row>
    <row r="5" spans="2:8" ht="15.75" thickBot="1" x14ac:dyDescent="0.3">
      <c r="B5" s="437"/>
      <c r="C5" s="2410" t="str">
        <f>IF('1'!G5="","Enter Project Name on Form 1",(CONCATENATE("Project Name: ",'1'!G5)))</f>
        <v>Enter Project Name on Form 1</v>
      </c>
      <c r="D5" s="2410"/>
      <c r="E5" s="2410"/>
      <c r="F5" s="2410"/>
      <c r="G5" s="1869"/>
      <c r="H5" s="438"/>
    </row>
    <row r="6" spans="2:8" ht="15.75" thickBot="1" x14ac:dyDescent="0.3">
      <c r="B6" s="437"/>
      <c r="C6" s="407"/>
      <c r="D6" s="407"/>
      <c r="E6" s="407"/>
      <c r="F6" s="407"/>
      <c r="G6" s="1869"/>
      <c r="H6" s="438"/>
    </row>
    <row r="7" spans="2:8" ht="26.25" thickBot="1" x14ac:dyDescent="0.3">
      <c r="B7" s="437"/>
      <c r="C7" s="439" t="s">
        <v>75</v>
      </c>
      <c r="D7" s="1730" t="s">
        <v>76</v>
      </c>
      <c r="E7" s="1731" t="s">
        <v>77</v>
      </c>
      <c r="F7" s="1731" t="s">
        <v>78</v>
      </c>
      <c r="G7" s="1732" t="s">
        <v>511</v>
      </c>
      <c r="H7" s="438"/>
    </row>
    <row r="8" spans="2:8" ht="26.25" x14ac:dyDescent="0.25">
      <c r="B8" s="437"/>
      <c r="C8" s="1725" t="s">
        <v>79</v>
      </c>
      <c r="D8" s="1734"/>
      <c r="E8" s="1733"/>
      <c r="F8" s="1733"/>
      <c r="G8" s="1735"/>
      <c r="H8" s="438"/>
    </row>
    <row r="9" spans="2:8" x14ac:dyDescent="0.25">
      <c r="B9" s="437"/>
      <c r="C9" s="1728" t="s">
        <v>541</v>
      </c>
      <c r="D9" s="847"/>
      <c r="E9" s="848"/>
      <c r="F9" s="849">
        <f>D9*E9</f>
        <v>0</v>
      </c>
      <c r="G9" s="1736"/>
      <c r="H9" s="438"/>
    </row>
    <row r="10" spans="2:8" x14ac:dyDescent="0.25">
      <c r="B10" s="437"/>
      <c r="C10" s="1729"/>
      <c r="D10" s="851"/>
      <c r="E10" s="852"/>
      <c r="F10" s="853">
        <f t="shared" ref="F10:F24" si="0">D10*E10</f>
        <v>0</v>
      </c>
      <c r="G10" s="1736"/>
      <c r="H10" s="438"/>
    </row>
    <row r="11" spans="2:8" x14ac:dyDescent="0.25">
      <c r="B11" s="437"/>
      <c r="C11" s="1729"/>
      <c r="D11" s="851"/>
      <c r="E11" s="852"/>
      <c r="F11" s="853">
        <f t="shared" si="0"/>
        <v>0</v>
      </c>
      <c r="G11" s="1736"/>
      <c r="H11" s="438"/>
    </row>
    <row r="12" spans="2:8" x14ac:dyDescent="0.25">
      <c r="B12" s="437"/>
      <c r="C12" s="1729"/>
      <c r="D12" s="851"/>
      <c r="E12" s="852"/>
      <c r="F12" s="853">
        <f t="shared" si="0"/>
        <v>0</v>
      </c>
      <c r="G12" s="1736"/>
      <c r="H12" s="438"/>
    </row>
    <row r="13" spans="2:8" x14ac:dyDescent="0.25">
      <c r="B13" s="437"/>
      <c r="C13" s="1729"/>
      <c r="D13" s="851"/>
      <c r="E13" s="852"/>
      <c r="F13" s="853">
        <f t="shared" si="0"/>
        <v>0</v>
      </c>
      <c r="G13" s="1736"/>
      <c r="H13" s="438"/>
    </row>
    <row r="14" spans="2:8" x14ac:dyDescent="0.25">
      <c r="B14" s="437"/>
      <c r="C14" s="1729"/>
      <c r="D14" s="851"/>
      <c r="E14" s="852"/>
      <c r="F14" s="853">
        <f t="shared" si="0"/>
        <v>0</v>
      </c>
      <c r="G14" s="1736"/>
      <c r="H14" s="438"/>
    </row>
    <row r="15" spans="2:8" x14ac:dyDescent="0.25">
      <c r="B15" s="437"/>
      <c r="C15" s="1729"/>
      <c r="D15" s="851"/>
      <c r="E15" s="852"/>
      <c r="F15" s="853">
        <f t="shared" si="0"/>
        <v>0</v>
      </c>
      <c r="G15" s="1736"/>
      <c r="H15" s="438"/>
    </row>
    <row r="16" spans="2:8" x14ac:dyDescent="0.25">
      <c r="B16" s="437"/>
      <c r="C16" s="1729"/>
      <c r="D16" s="851"/>
      <c r="E16" s="852"/>
      <c r="F16" s="853">
        <f t="shared" si="0"/>
        <v>0</v>
      </c>
      <c r="G16" s="1736"/>
      <c r="H16" s="438"/>
    </row>
    <row r="17" spans="2:8" x14ac:dyDescent="0.25">
      <c r="B17" s="437"/>
      <c r="C17" s="1729"/>
      <c r="D17" s="851"/>
      <c r="E17" s="852"/>
      <c r="F17" s="853">
        <f t="shared" si="0"/>
        <v>0</v>
      </c>
      <c r="G17" s="1736"/>
      <c r="H17" s="438"/>
    </row>
    <row r="18" spans="2:8" x14ac:dyDescent="0.25">
      <c r="B18" s="437"/>
      <c r="C18" s="1729"/>
      <c r="D18" s="851"/>
      <c r="E18" s="852"/>
      <c r="F18" s="853">
        <f t="shared" si="0"/>
        <v>0</v>
      </c>
      <c r="G18" s="1736"/>
      <c r="H18" s="438"/>
    </row>
    <row r="19" spans="2:8" ht="3.75" customHeight="1" x14ac:dyDescent="0.25">
      <c r="B19" s="437"/>
      <c r="C19" s="1726"/>
      <c r="D19" s="1887"/>
      <c r="E19" s="1888"/>
      <c r="F19" s="1727">
        <f t="shared" si="0"/>
        <v>0</v>
      </c>
      <c r="G19" s="1727"/>
      <c r="H19" s="438"/>
    </row>
    <row r="20" spans="2:8" x14ac:dyDescent="0.25">
      <c r="B20" s="437"/>
      <c r="C20" s="850" t="s">
        <v>80</v>
      </c>
      <c r="D20" s="851"/>
      <c r="E20" s="852"/>
      <c r="F20" s="853">
        <f t="shared" si="0"/>
        <v>0</v>
      </c>
      <c r="G20" s="1736"/>
      <c r="H20" s="438"/>
    </row>
    <row r="21" spans="2:8" x14ac:dyDescent="0.25">
      <c r="B21" s="437"/>
      <c r="C21" s="850" t="s">
        <v>81</v>
      </c>
      <c r="D21" s="851"/>
      <c r="E21" s="852"/>
      <c r="F21" s="853">
        <f t="shared" si="0"/>
        <v>0</v>
      </c>
      <c r="G21" s="1736"/>
      <c r="H21" s="438"/>
    </row>
    <row r="22" spans="2:8" x14ac:dyDescent="0.25">
      <c r="B22" s="437"/>
      <c r="C22" s="850" t="s">
        <v>82</v>
      </c>
      <c r="D22" s="851"/>
      <c r="E22" s="852"/>
      <c r="F22" s="853">
        <f t="shared" si="0"/>
        <v>0</v>
      </c>
      <c r="G22" s="1736"/>
      <c r="H22" s="438"/>
    </row>
    <row r="23" spans="2:8" x14ac:dyDescent="0.25">
      <c r="B23" s="437"/>
      <c r="C23" s="850" t="s">
        <v>83</v>
      </c>
      <c r="D23" s="851"/>
      <c r="E23" s="852"/>
      <c r="F23" s="853">
        <f t="shared" si="0"/>
        <v>0</v>
      </c>
      <c r="G23" s="1736"/>
      <c r="H23" s="438"/>
    </row>
    <row r="24" spans="2:8" ht="15.75" thickBot="1" x14ac:dyDescent="0.3">
      <c r="B24" s="437"/>
      <c r="C24" s="856" t="s">
        <v>84</v>
      </c>
      <c r="D24" s="857"/>
      <c r="E24" s="854"/>
      <c r="F24" s="855">
        <f t="shared" si="0"/>
        <v>0</v>
      </c>
      <c r="G24" s="1738"/>
      <c r="H24" s="438"/>
    </row>
    <row r="25" spans="2:8" ht="16.5" thickTop="1" thickBot="1" x14ac:dyDescent="0.3">
      <c r="B25" s="437"/>
      <c r="C25" s="440" t="s">
        <v>85</v>
      </c>
      <c r="D25" s="441"/>
      <c r="E25" s="338">
        <f>SUM(E9:E24)</f>
        <v>0</v>
      </c>
      <c r="F25" s="145">
        <f>SUM(F9:F24)</f>
        <v>0</v>
      </c>
      <c r="G25" s="1737"/>
      <c r="H25" s="438"/>
    </row>
    <row r="26" spans="2:8" s="414" customFormat="1" x14ac:dyDescent="0.25">
      <c r="B26" s="437"/>
      <c r="C26" s="442"/>
      <c r="D26" s="407"/>
      <c r="E26" s="407"/>
      <c r="F26" s="443" t="s">
        <v>34</v>
      </c>
      <c r="G26" s="1869"/>
      <c r="H26" s="438"/>
    </row>
    <row r="27" spans="2:8" s="414" customFormat="1" x14ac:dyDescent="0.25">
      <c r="B27" s="437"/>
      <c r="C27" s="407" t="s">
        <v>86</v>
      </c>
      <c r="D27" s="407"/>
      <c r="E27" s="407"/>
      <c r="F27" s="407"/>
      <c r="G27" s="1869"/>
      <c r="H27" s="438"/>
    </row>
    <row r="28" spans="2:8" x14ac:dyDescent="0.25">
      <c r="B28" s="437"/>
      <c r="C28" s="2412"/>
      <c r="D28" s="2413"/>
      <c r="E28" s="2413"/>
      <c r="F28" s="2413"/>
      <c r="G28" s="2414"/>
      <c r="H28" s="438"/>
    </row>
    <row r="29" spans="2:8" x14ac:dyDescent="0.25">
      <c r="B29" s="437"/>
      <c r="C29" s="2415"/>
      <c r="D29" s="2416"/>
      <c r="E29" s="2416"/>
      <c r="F29" s="2416"/>
      <c r="G29" s="2417"/>
      <c r="H29" s="438"/>
    </row>
    <row r="30" spans="2:8" x14ac:dyDescent="0.25">
      <c r="B30" s="437"/>
      <c r="C30" s="2415"/>
      <c r="D30" s="2416"/>
      <c r="E30" s="2416"/>
      <c r="F30" s="2416"/>
      <c r="G30" s="2417"/>
      <c r="H30" s="438"/>
    </row>
    <row r="31" spans="2:8" x14ac:dyDescent="0.25">
      <c r="B31" s="437"/>
      <c r="C31" s="2415"/>
      <c r="D31" s="2416"/>
      <c r="E31" s="2416"/>
      <c r="F31" s="2416"/>
      <c r="G31" s="2417"/>
      <c r="H31" s="438"/>
    </row>
    <row r="32" spans="2:8" x14ac:dyDescent="0.25">
      <c r="B32" s="437"/>
      <c r="C32" s="2415"/>
      <c r="D32" s="2416"/>
      <c r="E32" s="2416"/>
      <c r="F32" s="2416"/>
      <c r="G32" s="2417"/>
      <c r="H32" s="438"/>
    </row>
    <row r="33" spans="2:8" x14ac:dyDescent="0.25">
      <c r="B33" s="437"/>
      <c r="C33" s="2418"/>
      <c r="D33" s="2419"/>
      <c r="E33" s="2419"/>
      <c r="F33" s="2419"/>
      <c r="G33" s="2420"/>
      <c r="H33" s="438"/>
    </row>
    <row r="34" spans="2:8" ht="9" customHeight="1" thickBot="1" x14ac:dyDescent="0.3">
      <c r="B34" s="444"/>
      <c r="C34" s="445"/>
      <c r="D34" s="445"/>
      <c r="E34" s="445"/>
      <c r="F34" s="445"/>
      <c r="G34" s="1889"/>
      <c r="H34" s="446"/>
    </row>
  </sheetData>
  <sheetProtection algorithmName="SHA-512" hashValue="KbsfcQR12bALQ4QRlHAsiSvtv7RlZwBVO2fSspX1qXIbE/KR5H0nuih+9j7ZDZQX3xduVevwo51Kn/dxLDUnLw==" saltValue="rxo63bRUxGs3LPYNO7XZEQ==" spinCount="100000" sheet="1" formatCells="0" formatColumns="0" formatRows="0"/>
  <mergeCells count="3">
    <mergeCell ref="C5:F5"/>
    <mergeCell ref="C3:G3"/>
    <mergeCell ref="C28:G33"/>
  </mergeCells>
  <dataValidations disablePrompts="1" count="1">
    <dataValidation type="list" allowBlank="1" showInputMessage="1" showErrorMessage="1" sqref="C9:C19" xr:uid="{00000000-0002-0000-0C00-000000000000}">
      <formula1>Relo_Units</formula1>
    </dataValidation>
  </dataValidations>
  <pageMargins left="0.7" right="0.7" top="0.75" bottom="0.75" header="0.3" footer="0.3"/>
  <pageSetup orientation="landscape" r:id="rId1"/>
  <headerFooter>
    <oddFooter>&amp;LForm 4
Relocation Budget&amp;CCFA Forms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1:G78"/>
  <sheetViews>
    <sheetView showGridLines="0" topLeftCell="A37" zoomScaleNormal="100" workbookViewId="0">
      <selection activeCell="E66" sqref="E66"/>
    </sheetView>
  </sheetViews>
  <sheetFormatPr defaultColWidth="9.140625" defaultRowHeight="15" x14ac:dyDescent="0.25"/>
  <cols>
    <col min="1" max="2" width="1.7109375" style="395" customWidth="1"/>
    <col min="3" max="3" width="29.140625" style="395" bestFit="1" customWidth="1"/>
    <col min="4" max="4" width="35.140625" style="395" bestFit="1" customWidth="1"/>
    <col min="5" max="5" width="20.5703125" style="395" bestFit="1" customWidth="1"/>
    <col min="6" max="6" width="42.85546875" style="395" customWidth="1"/>
    <col min="7" max="7" width="1.7109375" style="395" customWidth="1"/>
    <col min="8" max="16384" width="9.140625" style="395"/>
  </cols>
  <sheetData>
    <row r="11" spans="2:7" ht="9" customHeight="1" thickBot="1" x14ac:dyDescent="0.3"/>
    <row r="12" spans="2:7" ht="9" customHeight="1" x14ac:dyDescent="0.25">
      <c r="B12" s="8"/>
      <c r="C12" s="9"/>
      <c r="D12" s="9"/>
      <c r="E12" s="9"/>
      <c r="F12" s="9"/>
      <c r="G12" s="10"/>
    </row>
    <row r="13" spans="2:7" ht="18.75" x14ac:dyDescent="0.3">
      <c r="B13" s="11"/>
      <c r="C13" s="2421" t="s">
        <v>87</v>
      </c>
      <c r="D13" s="2421"/>
      <c r="E13" s="2421"/>
      <c r="F13" s="2421"/>
      <c r="G13" s="12"/>
    </row>
    <row r="14" spans="2:7" x14ac:dyDescent="0.25">
      <c r="B14" s="4"/>
      <c r="C14" s="2"/>
      <c r="D14" s="2"/>
      <c r="E14" s="1"/>
      <c r="F14" s="1"/>
      <c r="G14" s="3"/>
    </row>
    <row r="15" spans="2:7" ht="15.75" thickBot="1" x14ac:dyDescent="0.3">
      <c r="B15" s="4"/>
      <c r="C15" s="2410" t="str">
        <f>IF('1'!G5="","Enter Project Name on Form 1",(CONCATENATE("Project Name: ",'1'!G5)))</f>
        <v>Enter Project Name on Form 1</v>
      </c>
      <c r="D15" s="2410"/>
      <c r="E15" s="2410"/>
      <c r="F15" s="1"/>
      <c r="G15" s="3"/>
    </row>
    <row r="16" spans="2:7" ht="15.75" thickBot="1" x14ac:dyDescent="0.3">
      <c r="B16" s="4"/>
      <c r="C16" s="447"/>
      <c r="D16" s="406"/>
      <c r="E16" s="406"/>
      <c r="F16" s="146"/>
      <c r="G16" s="3"/>
    </row>
    <row r="17" spans="2:7" ht="26.25" thickBot="1" x14ac:dyDescent="0.3">
      <c r="B17" s="4"/>
      <c r="C17" s="1087" t="s">
        <v>88</v>
      </c>
      <c r="D17" s="147" t="s">
        <v>89</v>
      </c>
      <c r="E17" s="148" t="s">
        <v>503</v>
      </c>
      <c r="F17" s="149" t="s">
        <v>648</v>
      </c>
      <c r="G17" s="3"/>
    </row>
    <row r="18" spans="2:7" x14ac:dyDescent="0.25">
      <c r="B18" s="4"/>
      <c r="C18" s="1088" t="s">
        <v>90</v>
      </c>
      <c r="D18" s="858" t="s">
        <v>91</v>
      </c>
      <c r="E18" s="1743"/>
      <c r="F18" s="859" t="s">
        <v>92</v>
      </c>
      <c r="G18" s="3"/>
    </row>
    <row r="19" spans="2:7" ht="25.5" x14ac:dyDescent="0.25">
      <c r="B19" s="4"/>
      <c r="C19" s="1082" t="s">
        <v>93</v>
      </c>
      <c r="D19" s="1028" t="s">
        <v>94</v>
      </c>
      <c r="E19" s="863"/>
      <c r="F19" s="861" t="s">
        <v>95</v>
      </c>
      <c r="G19" s="3"/>
    </row>
    <row r="20" spans="2:7" x14ac:dyDescent="0.25">
      <c r="B20" s="4"/>
      <c r="C20" s="1082" t="s">
        <v>93</v>
      </c>
      <c r="D20" s="860" t="s">
        <v>96</v>
      </c>
      <c r="E20" s="863"/>
      <c r="F20" s="861" t="s">
        <v>97</v>
      </c>
      <c r="G20" s="3"/>
    </row>
    <row r="21" spans="2:7" x14ac:dyDescent="0.25">
      <c r="B21" s="4"/>
      <c r="C21" s="1082"/>
      <c r="D21" s="1028"/>
      <c r="E21" s="863"/>
      <c r="F21" s="862"/>
      <c r="G21" s="3"/>
    </row>
    <row r="22" spans="2:7" x14ac:dyDescent="0.25">
      <c r="B22" s="4"/>
      <c r="C22" s="1089" t="s">
        <v>98</v>
      </c>
      <c r="D22" s="1028" t="s">
        <v>99</v>
      </c>
      <c r="E22" s="863"/>
      <c r="F22" s="861" t="s">
        <v>100</v>
      </c>
      <c r="G22" s="3"/>
    </row>
    <row r="23" spans="2:7" x14ac:dyDescent="0.25">
      <c r="B23" s="4"/>
      <c r="C23" s="1082" t="s">
        <v>98</v>
      </c>
      <c r="D23" s="1028" t="s">
        <v>101</v>
      </c>
      <c r="E23" s="863"/>
      <c r="F23" s="862"/>
      <c r="G23" s="3"/>
    </row>
    <row r="24" spans="2:7" x14ac:dyDescent="0.25">
      <c r="B24" s="4"/>
      <c r="C24" s="1082" t="s">
        <v>98</v>
      </c>
      <c r="D24" s="1028" t="s">
        <v>102</v>
      </c>
      <c r="E24" s="863"/>
      <c r="F24" s="862"/>
      <c r="G24" s="3"/>
    </row>
    <row r="25" spans="2:7" x14ac:dyDescent="0.25">
      <c r="B25" s="4"/>
      <c r="C25" s="1082" t="s">
        <v>98</v>
      </c>
      <c r="D25" s="860" t="s">
        <v>103</v>
      </c>
      <c r="E25" s="863"/>
      <c r="F25" s="862"/>
      <c r="G25" s="3"/>
    </row>
    <row r="26" spans="2:7" x14ac:dyDescent="0.25">
      <c r="B26" s="4"/>
      <c r="C26" s="1082" t="s">
        <v>98</v>
      </c>
      <c r="D26" s="860" t="s">
        <v>104</v>
      </c>
      <c r="E26" s="863"/>
      <c r="F26" s="862"/>
      <c r="G26" s="3"/>
    </row>
    <row r="27" spans="2:7" x14ac:dyDescent="0.25">
      <c r="B27" s="4"/>
      <c r="C27" s="1082" t="s">
        <v>98</v>
      </c>
      <c r="D27" s="860" t="s">
        <v>105</v>
      </c>
      <c r="E27" s="863"/>
      <c r="F27" s="862"/>
      <c r="G27" s="3"/>
    </row>
    <row r="28" spans="2:7" x14ac:dyDescent="0.25">
      <c r="B28" s="4"/>
      <c r="C28" s="1082" t="s">
        <v>98</v>
      </c>
      <c r="D28" s="860" t="s">
        <v>106</v>
      </c>
      <c r="E28" s="863"/>
      <c r="F28" s="862"/>
      <c r="G28" s="3"/>
    </row>
    <row r="29" spans="2:7" x14ac:dyDescent="0.25">
      <c r="B29" s="4"/>
      <c r="C29" s="1082" t="s">
        <v>98</v>
      </c>
      <c r="D29" s="860" t="s">
        <v>107</v>
      </c>
      <c r="E29" s="863"/>
      <c r="F29" s="862"/>
      <c r="G29" s="3"/>
    </row>
    <row r="30" spans="2:7" x14ac:dyDescent="0.25">
      <c r="B30" s="4"/>
      <c r="C30" s="1082" t="s">
        <v>98</v>
      </c>
      <c r="D30" s="860" t="s">
        <v>108</v>
      </c>
      <c r="E30" s="863"/>
      <c r="F30" s="864"/>
      <c r="G30" s="3"/>
    </row>
    <row r="31" spans="2:7" x14ac:dyDescent="0.25">
      <c r="B31" s="4"/>
      <c r="C31" s="1082" t="s">
        <v>98</v>
      </c>
      <c r="D31" s="860" t="s">
        <v>109</v>
      </c>
      <c r="E31" s="863"/>
      <c r="F31" s="864"/>
      <c r="G31" s="3"/>
    </row>
    <row r="32" spans="2:7" x14ac:dyDescent="0.25">
      <c r="B32" s="4"/>
      <c r="C32" s="1089"/>
      <c r="D32" s="860"/>
      <c r="E32" s="863"/>
      <c r="F32" s="864"/>
      <c r="G32" s="3"/>
    </row>
    <row r="33" spans="2:7" x14ac:dyDescent="0.25">
      <c r="B33" s="4"/>
      <c r="C33" s="1089" t="s">
        <v>110</v>
      </c>
      <c r="D33" s="860" t="s">
        <v>111</v>
      </c>
      <c r="E33" s="863"/>
      <c r="F33" s="864"/>
      <c r="G33" s="3"/>
    </row>
    <row r="34" spans="2:7" x14ac:dyDescent="0.25">
      <c r="B34" s="4"/>
      <c r="C34" s="1089" t="s">
        <v>110</v>
      </c>
      <c r="D34" s="860" t="s">
        <v>112</v>
      </c>
      <c r="E34" s="863"/>
      <c r="F34" s="864"/>
      <c r="G34" s="3"/>
    </row>
    <row r="35" spans="2:7" x14ac:dyDescent="0.25">
      <c r="B35" s="4"/>
      <c r="C35" s="1089" t="s">
        <v>110</v>
      </c>
      <c r="D35" s="860" t="s">
        <v>113</v>
      </c>
      <c r="E35" s="863"/>
      <c r="F35" s="864"/>
      <c r="G35" s="3"/>
    </row>
    <row r="36" spans="2:7" x14ac:dyDescent="0.25">
      <c r="B36" s="4"/>
      <c r="C36" s="1089" t="s">
        <v>110</v>
      </c>
      <c r="D36" s="860" t="s">
        <v>114</v>
      </c>
      <c r="E36" s="863"/>
      <c r="F36" s="864"/>
      <c r="G36" s="3"/>
    </row>
    <row r="37" spans="2:7" x14ac:dyDescent="0.25">
      <c r="B37" s="4"/>
      <c r="C37" s="1089" t="s">
        <v>110</v>
      </c>
      <c r="D37" s="860" t="s">
        <v>115</v>
      </c>
      <c r="E37" s="863"/>
      <c r="F37" s="864"/>
      <c r="G37" s="3"/>
    </row>
    <row r="38" spans="2:7" x14ac:dyDescent="0.25">
      <c r="B38" s="4"/>
      <c r="C38" s="1089" t="s">
        <v>110</v>
      </c>
      <c r="D38" s="1028" t="s">
        <v>116</v>
      </c>
      <c r="E38" s="863"/>
      <c r="F38" s="864"/>
      <c r="G38" s="3"/>
    </row>
    <row r="39" spans="2:7" x14ac:dyDescent="0.25">
      <c r="B39" s="4"/>
      <c r="C39" s="1089" t="s">
        <v>110</v>
      </c>
      <c r="D39" s="1028" t="s">
        <v>117</v>
      </c>
      <c r="E39" s="863"/>
      <c r="F39" s="864"/>
      <c r="G39" s="3"/>
    </row>
    <row r="40" spans="2:7" x14ac:dyDescent="0.25">
      <c r="B40" s="4"/>
      <c r="C40" s="1089" t="s">
        <v>110</v>
      </c>
      <c r="D40" s="1028" t="s">
        <v>118</v>
      </c>
      <c r="E40" s="863"/>
      <c r="F40" s="864"/>
      <c r="G40" s="3"/>
    </row>
    <row r="41" spans="2:7" x14ac:dyDescent="0.25">
      <c r="B41" s="4"/>
      <c r="C41" s="1089"/>
      <c r="D41" s="1028"/>
      <c r="E41" s="863"/>
      <c r="F41" s="864"/>
      <c r="G41" s="3"/>
    </row>
    <row r="42" spans="2:7" x14ac:dyDescent="0.25">
      <c r="B42" s="4"/>
      <c r="C42" s="1082" t="s">
        <v>119</v>
      </c>
      <c r="D42" s="1028" t="s">
        <v>120</v>
      </c>
      <c r="E42" s="863"/>
      <c r="F42" s="864"/>
      <c r="G42" s="3"/>
    </row>
    <row r="43" spans="2:7" x14ac:dyDescent="0.25">
      <c r="B43" s="4"/>
      <c r="C43" s="1090" t="s">
        <v>121</v>
      </c>
      <c r="D43" s="865" t="s">
        <v>122</v>
      </c>
      <c r="E43" s="863"/>
      <c r="F43" s="866"/>
      <c r="G43" s="3"/>
    </row>
    <row r="44" spans="2:7" x14ac:dyDescent="0.25">
      <c r="B44" s="4"/>
      <c r="C44" s="1082" t="s">
        <v>119</v>
      </c>
      <c r="D44" s="865" t="s">
        <v>123</v>
      </c>
      <c r="E44" s="863"/>
      <c r="F44" s="864"/>
      <c r="G44" s="3"/>
    </row>
    <row r="45" spans="2:7" x14ac:dyDescent="0.25">
      <c r="B45" s="4"/>
      <c r="C45" s="1082" t="s">
        <v>119</v>
      </c>
      <c r="D45" s="865" t="s">
        <v>123</v>
      </c>
      <c r="E45" s="863"/>
      <c r="F45" s="864"/>
      <c r="G45" s="3"/>
    </row>
    <row r="46" spans="2:7" x14ac:dyDescent="0.25">
      <c r="B46" s="4"/>
      <c r="C46" s="1082" t="s">
        <v>119</v>
      </c>
      <c r="D46" s="865" t="s">
        <v>123</v>
      </c>
      <c r="E46" s="863"/>
      <c r="F46" s="864"/>
      <c r="G46" s="3"/>
    </row>
    <row r="47" spans="2:7" x14ac:dyDescent="0.25">
      <c r="B47" s="4"/>
      <c r="C47" s="1082" t="s">
        <v>121</v>
      </c>
      <c r="D47" s="865" t="s">
        <v>670</v>
      </c>
      <c r="E47" s="863"/>
      <c r="F47" s="864"/>
      <c r="G47" s="3"/>
    </row>
    <row r="48" spans="2:7" x14ac:dyDescent="0.25">
      <c r="B48" s="4"/>
      <c r="C48" s="1082" t="s">
        <v>119</v>
      </c>
      <c r="D48" s="1028" t="s">
        <v>124</v>
      </c>
      <c r="E48" s="863"/>
      <c r="F48" s="864"/>
      <c r="G48" s="3"/>
    </row>
    <row r="49" spans="2:7" x14ac:dyDescent="0.25">
      <c r="B49" s="4"/>
      <c r="C49" s="1082" t="s">
        <v>119</v>
      </c>
      <c r="D49" s="860" t="s">
        <v>125</v>
      </c>
      <c r="E49" s="863"/>
      <c r="F49" s="864"/>
      <c r="G49" s="3"/>
    </row>
    <row r="50" spans="2:7" x14ac:dyDescent="0.25">
      <c r="B50" s="4"/>
      <c r="C50" s="1090" t="s">
        <v>121</v>
      </c>
      <c r="D50" s="865" t="s">
        <v>669</v>
      </c>
      <c r="E50" s="863"/>
      <c r="F50" s="867"/>
      <c r="G50" s="3"/>
    </row>
    <row r="51" spans="2:7" x14ac:dyDescent="0.25">
      <c r="B51" s="4"/>
      <c r="C51" s="1082" t="s">
        <v>119</v>
      </c>
      <c r="D51" s="860" t="s">
        <v>126</v>
      </c>
      <c r="E51" s="863"/>
      <c r="F51" s="864"/>
      <c r="G51" s="3"/>
    </row>
    <row r="52" spans="2:7" x14ac:dyDescent="0.25">
      <c r="B52" s="4"/>
      <c r="C52" s="1082" t="s">
        <v>119</v>
      </c>
      <c r="D52" s="1028" t="s">
        <v>126</v>
      </c>
      <c r="E52" s="863"/>
      <c r="F52" s="864"/>
      <c r="G52" s="3"/>
    </row>
    <row r="53" spans="2:7" x14ac:dyDescent="0.25">
      <c r="B53" s="4"/>
      <c r="C53" s="1082" t="s">
        <v>119</v>
      </c>
      <c r="D53" s="860" t="s">
        <v>126</v>
      </c>
      <c r="E53" s="863"/>
      <c r="F53" s="864"/>
      <c r="G53" s="3"/>
    </row>
    <row r="54" spans="2:7" x14ac:dyDescent="0.25">
      <c r="B54" s="4"/>
      <c r="C54" s="1082" t="s">
        <v>119</v>
      </c>
      <c r="D54" s="860" t="s">
        <v>127</v>
      </c>
      <c r="E54" s="863"/>
      <c r="F54" s="864"/>
      <c r="G54" s="3"/>
    </row>
    <row r="55" spans="2:7" x14ac:dyDescent="0.25">
      <c r="B55" s="4"/>
      <c r="C55" s="1082" t="s">
        <v>119</v>
      </c>
      <c r="D55" s="1028" t="s">
        <v>671</v>
      </c>
      <c r="E55" s="863"/>
      <c r="F55" s="864"/>
      <c r="G55" s="3"/>
    </row>
    <row r="56" spans="2:7" x14ac:dyDescent="0.25">
      <c r="B56" s="4"/>
      <c r="C56" s="1082"/>
      <c r="D56" s="1028"/>
      <c r="E56" s="863"/>
      <c r="F56" s="864"/>
      <c r="G56" s="3"/>
    </row>
    <row r="57" spans="2:7" x14ac:dyDescent="0.25">
      <c r="B57" s="4"/>
      <c r="C57" s="1082" t="s">
        <v>128</v>
      </c>
      <c r="D57" s="860" t="s">
        <v>129</v>
      </c>
      <c r="E57" s="863"/>
      <c r="F57" s="864"/>
      <c r="G57" s="3"/>
    </row>
    <row r="58" spans="2:7" x14ac:dyDescent="0.25">
      <c r="B58" s="4"/>
      <c r="C58" s="1082" t="s">
        <v>128</v>
      </c>
      <c r="D58" s="1028" t="s">
        <v>130</v>
      </c>
      <c r="E58" s="863"/>
      <c r="F58" s="864"/>
      <c r="G58" s="3"/>
    </row>
    <row r="59" spans="2:7" x14ac:dyDescent="0.25">
      <c r="B59" s="4"/>
      <c r="C59" s="1082" t="s">
        <v>128</v>
      </c>
      <c r="D59" s="860" t="s">
        <v>131</v>
      </c>
      <c r="E59" s="863"/>
      <c r="F59" s="864"/>
      <c r="G59" s="3"/>
    </row>
    <row r="60" spans="2:7" x14ac:dyDescent="0.25">
      <c r="B60" s="4"/>
      <c r="C60" s="1082" t="s">
        <v>128</v>
      </c>
      <c r="D60" s="860" t="s">
        <v>132</v>
      </c>
      <c r="E60" s="863"/>
      <c r="F60" s="864"/>
      <c r="G60" s="3"/>
    </row>
    <row r="61" spans="2:7" x14ac:dyDescent="0.25">
      <c r="B61" s="4"/>
      <c r="C61" s="1082" t="s">
        <v>128</v>
      </c>
      <c r="D61" s="1028" t="s">
        <v>133</v>
      </c>
      <c r="E61" s="863"/>
      <c r="F61" s="862"/>
      <c r="G61" s="3"/>
    </row>
    <row r="62" spans="2:7" ht="15" customHeight="1" x14ac:dyDescent="0.25">
      <c r="B62" s="4"/>
      <c r="C62" s="1082" t="s">
        <v>128</v>
      </c>
      <c r="D62" s="1028" t="s">
        <v>134</v>
      </c>
      <c r="E62" s="863"/>
      <c r="F62" s="862"/>
      <c r="G62" s="3"/>
    </row>
    <row r="63" spans="2:7" ht="15.75" customHeight="1" x14ac:dyDescent="0.25">
      <c r="B63" s="13"/>
      <c r="C63" s="1082" t="s">
        <v>128</v>
      </c>
      <c r="D63" s="1028" t="s">
        <v>135</v>
      </c>
      <c r="E63" s="863"/>
      <c r="F63" s="862"/>
      <c r="G63" s="14"/>
    </row>
    <row r="64" spans="2:7" x14ac:dyDescent="0.25">
      <c r="B64" s="4"/>
      <c r="C64" s="1082" t="s">
        <v>136</v>
      </c>
      <c r="D64" s="1028" t="s">
        <v>137</v>
      </c>
      <c r="E64" s="863"/>
      <c r="F64" s="862"/>
      <c r="G64" s="3"/>
    </row>
    <row r="65" spans="2:7" x14ac:dyDescent="0.25">
      <c r="B65" s="4"/>
      <c r="C65" s="1082" t="s">
        <v>136</v>
      </c>
      <c r="D65" s="1028" t="s">
        <v>672</v>
      </c>
      <c r="E65" s="863"/>
      <c r="F65" s="862"/>
      <c r="G65" s="3"/>
    </row>
    <row r="66" spans="2:7" x14ac:dyDescent="0.25">
      <c r="B66" s="4"/>
      <c r="C66" s="1082" t="s">
        <v>136</v>
      </c>
      <c r="D66" s="1028" t="s">
        <v>138</v>
      </c>
      <c r="E66" s="863"/>
      <c r="F66" s="862"/>
      <c r="G66" s="3"/>
    </row>
    <row r="67" spans="2:7" x14ac:dyDescent="0.25">
      <c r="B67" s="4"/>
      <c r="C67" s="1082"/>
      <c r="D67" s="1028"/>
      <c r="E67" s="863"/>
      <c r="F67" s="862"/>
      <c r="G67" s="3"/>
    </row>
    <row r="68" spans="2:7" x14ac:dyDescent="0.25">
      <c r="B68" s="4"/>
      <c r="C68" s="1082" t="s">
        <v>139</v>
      </c>
      <c r="D68" s="1028" t="s">
        <v>140</v>
      </c>
      <c r="E68" s="863"/>
      <c r="F68" s="862"/>
      <c r="G68" s="3"/>
    </row>
    <row r="69" spans="2:7" x14ac:dyDescent="0.25">
      <c r="B69" s="4"/>
      <c r="C69" s="1082" t="s">
        <v>139</v>
      </c>
      <c r="D69" s="1028" t="s">
        <v>141</v>
      </c>
      <c r="E69" s="863"/>
      <c r="F69" s="862"/>
      <c r="G69" s="3"/>
    </row>
    <row r="70" spans="2:7" x14ac:dyDescent="0.25">
      <c r="B70" s="4"/>
      <c r="C70" s="1082" t="s">
        <v>139</v>
      </c>
      <c r="D70" s="1028" t="s">
        <v>142</v>
      </c>
      <c r="E70" s="863"/>
      <c r="F70" s="862"/>
      <c r="G70" s="3"/>
    </row>
    <row r="71" spans="2:7" x14ac:dyDescent="0.25">
      <c r="B71" s="4"/>
      <c r="C71" s="1082" t="s">
        <v>139</v>
      </c>
      <c r="D71" s="1028" t="s">
        <v>143</v>
      </c>
      <c r="E71" s="863"/>
      <c r="F71" s="862"/>
      <c r="G71" s="3"/>
    </row>
    <row r="72" spans="2:7" x14ac:dyDescent="0.25">
      <c r="B72" s="4"/>
      <c r="C72" s="1082" t="s">
        <v>139</v>
      </c>
      <c r="D72" s="1028" t="s">
        <v>144</v>
      </c>
      <c r="E72" s="863"/>
      <c r="F72" s="862"/>
      <c r="G72" s="3"/>
    </row>
    <row r="73" spans="2:7" x14ac:dyDescent="0.25">
      <c r="B73" s="4"/>
      <c r="C73" s="1082" t="s">
        <v>139</v>
      </c>
      <c r="D73" s="1028" t="s">
        <v>145</v>
      </c>
      <c r="E73" s="863"/>
      <c r="F73" s="862"/>
      <c r="G73" s="3"/>
    </row>
    <row r="74" spans="2:7" ht="25.5" x14ac:dyDescent="0.25">
      <c r="B74" s="4"/>
      <c r="C74" s="1082" t="s">
        <v>139</v>
      </c>
      <c r="D74" s="1027" t="s">
        <v>146</v>
      </c>
      <c r="E74" s="863"/>
      <c r="F74" s="862"/>
      <c r="G74" s="3"/>
    </row>
    <row r="75" spans="2:7" x14ac:dyDescent="0.25">
      <c r="B75" s="4"/>
      <c r="C75" s="1082" t="s">
        <v>139</v>
      </c>
      <c r="D75" s="1028" t="s">
        <v>147</v>
      </c>
      <c r="E75" s="863"/>
      <c r="F75" s="862"/>
      <c r="G75" s="3"/>
    </row>
    <row r="76" spans="2:7" x14ac:dyDescent="0.25">
      <c r="B76" s="4"/>
      <c r="C76" s="1281" t="s">
        <v>139</v>
      </c>
      <c r="D76" s="1282" t="s">
        <v>668</v>
      </c>
      <c r="E76" s="863"/>
      <c r="F76" s="1283"/>
      <c r="G76" s="3"/>
    </row>
    <row r="77" spans="2:7" ht="15.75" thickBot="1" x14ac:dyDescent="0.3">
      <c r="B77" s="4"/>
      <c r="C77" s="1083"/>
      <c r="D77" s="1079"/>
      <c r="E77" s="1744"/>
      <c r="F77" s="1080"/>
      <c r="G77" s="3"/>
    </row>
    <row r="78" spans="2:7" ht="9" customHeight="1" thickBot="1" x14ac:dyDescent="0.3">
      <c r="B78" s="5"/>
      <c r="C78" s="6"/>
      <c r="D78" s="6"/>
      <c r="E78" s="6"/>
      <c r="F78" s="6"/>
      <c r="G78" s="7"/>
    </row>
  </sheetData>
  <sheetProtection formatCells="0" formatColumns="0" formatRows="0" insertRows="0"/>
  <autoFilter ref="C17:F75" xr:uid="{00000000-0009-0000-0000-00000D000000}"/>
  <mergeCells count="2">
    <mergeCell ref="C13:F13"/>
    <mergeCell ref="C15:E15"/>
  </mergeCells>
  <dataValidations count="1">
    <dataValidation type="date" allowBlank="1" showInputMessage="1" showErrorMessage="1" errorTitle="Date Format" error="Please enter a date in the MM/DD/YYYY format" sqref="E18:E77" xr:uid="{00000000-0002-0000-0D00-000000000000}">
      <formula1>1</formula1>
      <formula2>402133</formula2>
    </dataValidation>
  </dataValidations>
  <pageMargins left="0.7" right="0.7" top="0.75" bottom="0.75" header="0.3" footer="0.3"/>
  <pageSetup scale="72" orientation="portrait" r:id="rId1"/>
  <headerFooter>
    <oddFooter>&amp;LForm 5
Project Schedule&amp;CCFA Forms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1:V127"/>
  <sheetViews>
    <sheetView showGridLines="0" topLeftCell="A97" zoomScaleNormal="100" zoomScaleSheetLayoutView="100" workbookViewId="0">
      <selection activeCell="J103" sqref="J103"/>
    </sheetView>
  </sheetViews>
  <sheetFormatPr defaultColWidth="9.140625" defaultRowHeight="15" x14ac:dyDescent="0.25"/>
  <cols>
    <col min="1" max="2" width="1.7109375" style="395" customWidth="1"/>
    <col min="3" max="3" width="2.85546875" style="395" customWidth="1"/>
    <col min="4" max="4" width="5.7109375" style="395" customWidth="1"/>
    <col min="5" max="5" width="8.5703125" style="395" customWidth="1"/>
    <col min="6" max="6" width="12.85546875" style="395" customWidth="1"/>
    <col min="7" max="7" width="10.7109375" style="395" customWidth="1"/>
    <col min="8" max="8" width="1.42578125" style="395" customWidth="1"/>
    <col min="9" max="9" width="7.85546875" style="395" customWidth="1"/>
    <col min="10" max="11" width="11.42578125" style="395" customWidth="1"/>
    <col min="12" max="12" width="10.42578125" style="395" bestFit="1" customWidth="1"/>
    <col min="13" max="13" width="9.140625" style="395"/>
    <col min="14" max="15" width="10.42578125" style="395" bestFit="1" customWidth="1"/>
    <col min="16" max="17" width="9.140625" style="395"/>
    <col min="18" max="18" width="0.7109375" style="395" customWidth="1"/>
    <col min="19" max="19" width="10.85546875" style="395" customWidth="1"/>
    <col min="20" max="21" width="9.140625" style="395"/>
    <col min="22" max="22" width="1.7109375" style="395" customWidth="1"/>
    <col min="23" max="16384" width="9.140625" style="395"/>
  </cols>
  <sheetData>
    <row r="11" spans="2:22" ht="9" customHeight="1" thickBot="1" x14ac:dyDescent="0.3"/>
    <row r="12" spans="2:22" ht="9" customHeight="1" x14ac:dyDescent="0.25">
      <c r="B12" s="448"/>
      <c r="C12" s="449"/>
      <c r="D12" s="449"/>
      <c r="E12" s="449"/>
      <c r="F12" s="449"/>
      <c r="G12" s="449"/>
      <c r="H12" s="449"/>
      <c r="I12" s="401"/>
      <c r="J12" s="401"/>
      <c r="K12" s="401"/>
      <c r="L12" s="401"/>
      <c r="M12" s="449"/>
      <c r="N12" s="449"/>
      <c r="O12" s="26"/>
      <c r="P12" s="26"/>
      <c r="Q12" s="26"/>
      <c r="R12" s="26"/>
      <c r="S12" s="26"/>
      <c r="T12" s="26"/>
      <c r="U12" s="26"/>
      <c r="V12" s="27"/>
    </row>
    <row r="13" spans="2:22" ht="18.75" x14ac:dyDescent="0.3">
      <c r="B13" s="450"/>
      <c r="C13" s="2293" t="s">
        <v>148</v>
      </c>
      <c r="D13" s="2293"/>
      <c r="E13" s="2293"/>
      <c r="F13" s="2293"/>
      <c r="G13" s="2293"/>
      <c r="H13" s="2293"/>
      <c r="I13" s="2293"/>
      <c r="J13" s="2293"/>
      <c r="K13" s="2293"/>
      <c r="L13" s="2293"/>
      <c r="M13" s="2293"/>
      <c r="N13" s="2293"/>
      <c r="O13" s="2293"/>
      <c r="P13" s="2293"/>
      <c r="Q13" s="2293"/>
      <c r="R13" s="2293"/>
      <c r="S13" s="2293"/>
      <c r="T13" s="2293"/>
      <c r="U13" s="2293"/>
      <c r="V13" s="33"/>
    </row>
    <row r="14" spans="2:22" ht="15" customHeight="1" x14ac:dyDescent="0.25">
      <c r="B14" s="450"/>
      <c r="C14" s="68"/>
      <c r="D14" s="68"/>
      <c r="E14" s="68"/>
      <c r="F14" s="68"/>
      <c r="G14" s="68"/>
      <c r="H14" s="68"/>
      <c r="I14" s="406"/>
      <c r="J14" s="1869"/>
      <c r="K14" s="406"/>
      <c r="L14" s="406"/>
      <c r="M14" s="68"/>
      <c r="N14" s="68"/>
      <c r="O14" s="18"/>
      <c r="P14" s="18"/>
      <c r="Q14" s="18"/>
      <c r="R14" s="18"/>
      <c r="S14" s="18"/>
      <c r="T14" s="18"/>
      <c r="U14" s="18"/>
      <c r="V14" s="33"/>
    </row>
    <row r="15" spans="2:22" ht="15.75" thickBot="1" x14ac:dyDescent="0.3">
      <c r="B15" s="451"/>
      <c r="C15" s="2439" t="str">
        <f>IF('1'!G5="","Enter Project Name on Form 1",(CONCATENATE("Project Name: ",'1'!G5)))</f>
        <v>Enter Project Name on Form 1</v>
      </c>
      <c r="D15" s="2439"/>
      <c r="E15" s="2439"/>
      <c r="F15" s="2439"/>
      <c r="G15" s="2439"/>
      <c r="H15" s="2439"/>
      <c r="I15" s="2439"/>
      <c r="J15" s="2439"/>
      <c r="K15" s="2439"/>
      <c r="L15" s="2439"/>
      <c r="M15" s="2439"/>
      <c r="N15" s="2439"/>
      <c r="O15" s="45"/>
      <c r="P15" s="45"/>
      <c r="Q15" s="45"/>
      <c r="R15" s="45"/>
      <c r="S15" s="68"/>
      <c r="T15" s="68"/>
      <c r="U15" s="68"/>
      <c r="V15" s="453"/>
    </row>
    <row r="16" spans="2:22" ht="7.5" customHeight="1" thickBot="1" x14ac:dyDescent="0.3">
      <c r="B16" s="451"/>
      <c r="C16" s="45"/>
      <c r="D16" s="17"/>
      <c r="E16" s="452"/>
      <c r="F16" s="452"/>
      <c r="G16" s="452"/>
      <c r="H16" s="452"/>
      <c r="I16" s="452"/>
      <c r="J16" s="452"/>
      <c r="K16" s="45"/>
      <c r="L16" s="452"/>
      <c r="M16" s="45"/>
      <c r="N16" s="45"/>
      <c r="O16" s="45"/>
      <c r="P16" s="45"/>
      <c r="Q16" s="45"/>
      <c r="R16" s="45"/>
      <c r="S16" s="68"/>
      <c r="T16" s="68"/>
      <c r="U16" s="68"/>
      <c r="V16" s="453"/>
    </row>
    <row r="17" spans="2:22" x14ac:dyDescent="0.25">
      <c r="B17" s="450"/>
      <c r="C17" s="133" t="s">
        <v>149</v>
      </c>
      <c r="D17" s="1512"/>
      <c r="E17" s="452"/>
      <c r="F17" s="1961"/>
      <c r="G17" s="406"/>
      <c r="H17" s="406"/>
      <c r="I17" s="2426" t="s">
        <v>150</v>
      </c>
      <c r="J17" s="2426" t="s">
        <v>151</v>
      </c>
      <c r="K17" s="2424" t="s">
        <v>53</v>
      </c>
      <c r="L17" s="2425"/>
      <c r="M17" s="2425"/>
      <c r="N17" s="2425"/>
      <c r="O17" s="2425"/>
      <c r="P17" s="2425"/>
      <c r="Q17" s="2425"/>
      <c r="R17" s="454"/>
      <c r="S17" s="2422" t="s">
        <v>54</v>
      </c>
      <c r="T17" s="2422"/>
      <c r="U17" s="2423"/>
      <c r="V17" s="453"/>
    </row>
    <row r="18" spans="2:22" x14ac:dyDescent="0.25">
      <c r="B18" s="450"/>
      <c r="C18" s="45"/>
      <c r="D18" s="452"/>
      <c r="E18" s="452"/>
      <c r="F18" s="452"/>
      <c r="G18" s="452"/>
      <c r="H18" s="452"/>
      <c r="I18" s="2427"/>
      <c r="J18" s="2427"/>
      <c r="K18" s="2429" t="s">
        <v>153</v>
      </c>
      <c r="L18" s="455" t="s">
        <v>154</v>
      </c>
      <c r="M18" s="455" t="s">
        <v>154</v>
      </c>
      <c r="N18" s="455" t="s">
        <v>154</v>
      </c>
      <c r="O18" s="455" t="s">
        <v>154</v>
      </c>
      <c r="P18" s="455" t="s">
        <v>154</v>
      </c>
      <c r="Q18" s="455" t="s">
        <v>154</v>
      </c>
      <c r="R18" s="456"/>
      <c r="S18" s="2431" t="s">
        <v>506</v>
      </c>
      <c r="T18" s="455" t="s">
        <v>154</v>
      </c>
      <c r="U18" s="457" t="s">
        <v>154</v>
      </c>
      <c r="V18" s="453"/>
    </row>
    <row r="19" spans="2:22" x14ac:dyDescent="0.25">
      <c r="B19" s="450"/>
      <c r="C19" s="45"/>
      <c r="D19" s="452"/>
      <c r="E19" s="452"/>
      <c r="F19" s="452"/>
      <c r="G19" s="452"/>
      <c r="H19" s="452"/>
      <c r="I19" s="2427"/>
      <c r="J19" s="2427"/>
      <c r="K19" s="2429"/>
      <c r="L19" s="2435"/>
      <c r="M19" s="2435"/>
      <c r="N19" s="2435"/>
      <c r="O19" s="2435"/>
      <c r="P19" s="2435"/>
      <c r="Q19" s="2433"/>
      <c r="R19" s="456"/>
      <c r="S19" s="2431"/>
      <c r="T19" s="2435"/>
      <c r="U19" s="2437"/>
      <c r="V19" s="453"/>
    </row>
    <row r="20" spans="2:22" ht="15.75" thickBot="1" x14ac:dyDescent="0.3">
      <c r="B20" s="450"/>
      <c r="C20" s="45"/>
      <c r="D20" s="452"/>
      <c r="E20" s="71"/>
      <c r="F20" s="71"/>
      <c r="G20" s="71"/>
      <c r="H20" s="71"/>
      <c r="I20" s="2428"/>
      <c r="J20" s="2428"/>
      <c r="K20" s="2430"/>
      <c r="L20" s="2436"/>
      <c r="M20" s="2436"/>
      <c r="N20" s="2436"/>
      <c r="O20" s="2436"/>
      <c r="P20" s="2436"/>
      <c r="Q20" s="2434"/>
      <c r="R20" s="458"/>
      <c r="S20" s="2432"/>
      <c r="T20" s="2436"/>
      <c r="U20" s="2438"/>
      <c r="V20" s="405"/>
    </row>
    <row r="21" spans="2:22" ht="15.75" thickBot="1" x14ac:dyDescent="0.3">
      <c r="B21" s="450"/>
      <c r="C21" s="78" t="s">
        <v>155</v>
      </c>
      <c r="D21" s="78"/>
      <c r="E21" s="78"/>
      <c r="F21" s="78"/>
      <c r="G21" s="78"/>
      <c r="H21" s="47"/>
      <c r="I21" s="47"/>
      <c r="J21" s="47"/>
      <c r="K21" s="47"/>
      <c r="L21" s="452"/>
      <c r="M21" s="45"/>
      <c r="N21" s="45"/>
      <c r="O21" s="15"/>
      <c r="P21" s="459"/>
      <c r="Q21" s="459"/>
      <c r="R21" s="68"/>
      <c r="S21" s="68"/>
      <c r="T21" s="459"/>
      <c r="U21" s="459"/>
      <c r="V21" s="405"/>
    </row>
    <row r="22" spans="2:22" x14ac:dyDescent="0.25">
      <c r="B22" s="450"/>
      <c r="C22" s="45"/>
      <c r="D22" s="150" t="s">
        <v>156</v>
      </c>
      <c r="E22" s="150"/>
      <c r="F22" s="150"/>
      <c r="G22" s="150"/>
      <c r="H22" s="150"/>
      <c r="I22" s="868" t="str">
        <f t="shared" ref="I22:I28" si="0">IFERROR(J22/J$120," ")</f>
        <v xml:space="preserve"> </v>
      </c>
      <c r="J22" s="1467"/>
      <c r="K22" s="869">
        <f t="shared" ref="K22:K27" si="1">SUM(L22:Q22)</f>
        <v>0</v>
      </c>
      <c r="L22" s="870"/>
      <c r="M22" s="871"/>
      <c r="N22" s="871"/>
      <c r="O22" s="871"/>
      <c r="P22" s="871"/>
      <c r="Q22" s="871"/>
      <c r="R22" s="460"/>
      <c r="S22" s="880">
        <f t="shared" ref="S22:S27" si="2">SUM(T22:U22)</f>
        <v>0</v>
      </c>
      <c r="T22" s="870"/>
      <c r="U22" s="881"/>
      <c r="V22" s="405"/>
    </row>
    <row r="23" spans="2:22" x14ac:dyDescent="0.25">
      <c r="B23" s="450"/>
      <c r="C23" s="45"/>
      <c r="D23" s="152" t="s">
        <v>157</v>
      </c>
      <c r="E23" s="152"/>
      <c r="F23" s="152"/>
      <c r="G23" s="152"/>
      <c r="H23" s="152"/>
      <c r="I23" s="872" t="str">
        <f t="shared" si="0"/>
        <v xml:space="preserve"> </v>
      </c>
      <c r="J23" s="1465"/>
      <c r="K23" s="873">
        <f t="shared" si="1"/>
        <v>0</v>
      </c>
      <c r="L23" s="874"/>
      <c r="M23" s="875"/>
      <c r="N23" s="875"/>
      <c r="O23" s="875"/>
      <c r="P23" s="875"/>
      <c r="Q23" s="875"/>
      <c r="R23" s="461"/>
      <c r="S23" s="882">
        <f t="shared" si="2"/>
        <v>0</v>
      </c>
      <c r="T23" s="874"/>
      <c r="U23" s="883"/>
      <c r="V23" s="405"/>
    </row>
    <row r="24" spans="2:22" x14ac:dyDescent="0.25">
      <c r="B24" s="450"/>
      <c r="C24" s="45"/>
      <c r="D24" s="44" t="s">
        <v>158</v>
      </c>
      <c r="E24" s="44"/>
      <c r="F24" s="44"/>
      <c r="G24" s="44"/>
      <c r="H24" s="44"/>
      <c r="I24" s="872" t="str">
        <f t="shared" si="0"/>
        <v xml:space="preserve"> </v>
      </c>
      <c r="J24" s="1465"/>
      <c r="K24" s="873">
        <f t="shared" si="1"/>
        <v>0</v>
      </c>
      <c r="L24" s="874"/>
      <c r="M24" s="875"/>
      <c r="N24" s="875"/>
      <c r="O24" s="875"/>
      <c r="P24" s="875"/>
      <c r="Q24" s="875"/>
      <c r="R24" s="461"/>
      <c r="S24" s="882">
        <f t="shared" si="2"/>
        <v>0</v>
      </c>
      <c r="T24" s="874"/>
      <c r="U24" s="883"/>
      <c r="V24" s="405"/>
    </row>
    <row r="25" spans="2:22" x14ac:dyDescent="0.25">
      <c r="B25" s="450"/>
      <c r="C25" s="45"/>
      <c r="D25" s="44" t="s">
        <v>159</v>
      </c>
      <c r="E25" s="44"/>
      <c r="F25" s="44"/>
      <c r="G25" s="44"/>
      <c r="H25" s="44"/>
      <c r="I25" s="872" t="str">
        <f t="shared" si="0"/>
        <v xml:space="preserve"> </v>
      </c>
      <c r="J25" s="1465"/>
      <c r="K25" s="873">
        <f t="shared" si="1"/>
        <v>0</v>
      </c>
      <c r="L25" s="874"/>
      <c r="M25" s="875"/>
      <c r="N25" s="875"/>
      <c r="O25" s="875"/>
      <c r="P25" s="875"/>
      <c r="Q25" s="875"/>
      <c r="R25" s="461"/>
      <c r="S25" s="882">
        <f t="shared" si="2"/>
        <v>0</v>
      </c>
      <c r="T25" s="874"/>
      <c r="U25" s="883"/>
      <c r="V25" s="405"/>
    </row>
    <row r="26" spans="2:22" x14ac:dyDescent="0.25">
      <c r="B26" s="450"/>
      <c r="C26" s="45"/>
      <c r="D26" s="50" t="s">
        <v>160</v>
      </c>
      <c r="E26" s="50"/>
      <c r="F26" s="50"/>
      <c r="G26" s="50"/>
      <c r="H26" s="50"/>
      <c r="I26" s="872" t="str">
        <f t="shared" si="0"/>
        <v xml:space="preserve"> </v>
      </c>
      <c r="J26" s="1465"/>
      <c r="K26" s="873">
        <f t="shared" si="1"/>
        <v>0</v>
      </c>
      <c r="L26" s="874"/>
      <c r="M26" s="875"/>
      <c r="N26" s="875"/>
      <c r="O26" s="875"/>
      <c r="P26" s="875"/>
      <c r="Q26" s="875"/>
      <c r="R26" s="461"/>
      <c r="S26" s="882">
        <f t="shared" si="2"/>
        <v>0</v>
      </c>
      <c r="T26" s="874"/>
      <c r="U26" s="883"/>
      <c r="V26" s="405"/>
    </row>
    <row r="27" spans="2:22" x14ac:dyDescent="0.25">
      <c r="B27" s="450"/>
      <c r="C27" s="45"/>
      <c r="D27" s="50" t="s">
        <v>428</v>
      </c>
      <c r="E27" s="2441"/>
      <c r="F27" s="2442"/>
      <c r="G27" s="2443"/>
      <c r="H27" s="160"/>
      <c r="I27" s="876" t="str">
        <f t="shared" si="0"/>
        <v xml:space="preserve"> </v>
      </c>
      <c r="J27" s="1466"/>
      <c r="K27" s="877">
        <f t="shared" si="1"/>
        <v>0</v>
      </c>
      <c r="L27" s="878"/>
      <c r="M27" s="879"/>
      <c r="N27" s="879"/>
      <c r="O27" s="879"/>
      <c r="P27" s="879"/>
      <c r="Q27" s="879"/>
      <c r="R27" s="461"/>
      <c r="S27" s="884">
        <f t="shared" si="2"/>
        <v>0</v>
      </c>
      <c r="T27" s="878"/>
      <c r="U27" s="885"/>
      <c r="V27" s="405"/>
    </row>
    <row r="28" spans="2:22" ht="15.75" thickBot="1" x14ac:dyDescent="0.3">
      <c r="B28" s="450"/>
      <c r="C28" s="45"/>
      <c r="D28" s="44"/>
      <c r="E28" s="44"/>
      <c r="F28" s="44"/>
      <c r="G28" s="48" t="s">
        <v>161</v>
      </c>
      <c r="H28" s="48"/>
      <c r="I28" s="351" t="str">
        <f t="shared" si="0"/>
        <v xml:space="preserve"> </v>
      </c>
      <c r="J28" s="36">
        <f t="shared" ref="J28:Q28" si="3">SUM(J22:J27)</f>
        <v>0</v>
      </c>
      <c r="K28" s="22">
        <f t="shared" si="3"/>
        <v>0</v>
      </c>
      <c r="L28" s="1527">
        <f t="shared" si="3"/>
        <v>0</v>
      </c>
      <c r="M28" s="1528">
        <f t="shared" si="3"/>
        <v>0</v>
      </c>
      <c r="N28" s="1528">
        <f t="shared" si="3"/>
        <v>0</v>
      </c>
      <c r="O28" s="1528">
        <f t="shared" si="3"/>
        <v>0</v>
      </c>
      <c r="P28" s="1528">
        <f t="shared" si="3"/>
        <v>0</v>
      </c>
      <c r="Q28" s="1528">
        <f t="shared" si="3"/>
        <v>0</v>
      </c>
      <c r="R28" s="462"/>
      <c r="S28" s="463">
        <f>SUM(S22:S27)</f>
        <v>0</v>
      </c>
      <c r="T28" s="1527">
        <f>SUM(T22:T27)</f>
        <v>0</v>
      </c>
      <c r="U28" s="1529">
        <f>SUM(U22:U27)</f>
        <v>0</v>
      </c>
      <c r="V28" s="405"/>
    </row>
    <row r="29" spans="2:22" ht="3.75" customHeight="1" x14ac:dyDescent="0.25">
      <c r="B29" s="450"/>
      <c r="C29" s="44"/>
      <c r="D29" s="44"/>
      <c r="E29" s="44"/>
      <c r="F29" s="44"/>
      <c r="G29" s="44"/>
      <c r="H29" s="44"/>
      <c r="I29" s="452"/>
      <c r="J29" s="464"/>
      <c r="K29" s="45"/>
      <c r="L29" s="16"/>
      <c r="M29" s="16"/>
      <c r="N29" s="16"/>
      <c r="O29" s="16"/>
      <c r="P29" s="45"/>
      <c r="Q29" s="16"/>
      <c r="R29" s="461"/>
      <c r="S29" s="16"/>
      <c r="T29" s="16"/>
      <c r="U29" s="16"/>
      <c r="V29" s="405"/>
    </row>
    <row r="30" spans="2:22" ht="15.75" thickBot="1" x14ac:dyDescent="0.3">
      <c r="B30" s="450"/>
      <c r="C30" s="78" t="s">
        <v>162</v>
      </c>
      <c r="D30" s="78"/>
      <c r="E30" s="78"/>
      <c r="F30" s="78"/>
      <c r="G30" s="78"/>
      <c r="H30" s="47"/>
      <c r="I30" s="47"/>
      <c r="J30" s="47"/>
      <c r="K30" s="47"/>
      <c r="L30" s="452"/>
      <c r="M30" s="45"/>
      <c r="N30" s="45"/>
      <c r="O30" s="15"/>
      <c r="P30" s="459"/>
      <c r="Q30" s="459"/>
      <c r="R30" s="456"/>
      <c r="S30" s="68"/>
      <c r="T30" s="459"/>
      <c r="U30" s="459"/>
      <c r="V30" s="405"/>
    </row>
    <row r="31" spans="2:22" x14ac:dyDescent="0.25">
      <c r="B31" s="450"/>
      <c r="C31" s="45"/>
      <c r="D31" s="154" t="s">
        <v>163</v>
      </c>
      <c r="E31" s="154"/>
      <c r="F31" s="154"/>
      <c r="G31" s="154"/>
      <c r="H31" s="154"/>
      <c r="I31" s="868" t="str">
        <f t="shared" ref="I31:I47" si="4">IFERROR(J31/J$120," ")</f>
        <v xml:space="preserve"> </v>
      </c>
      <c r="J31" s="1467"/>
      <c r="K31" s="886">
        <f t="shared" ref="K31:K46" si="5">SUM(L31:Q31)</f>
        <v>0</v>
      </c>
      <c r="L31" s="870"/>
      <c r="M31" s="887"/>
      <c r="N31" s="887"/>
      <c r="O31" s="887"/>
      <c r="P31" s="887"/>
      <c r="Q31" s="887"/>
      <c r="R31" s="460"/>
      <c r="S31" s="893">
        <f t="shared" ref="S31:S46" si="6">SUM(T31:U31)</f>
        <v>0</v>
      </c>
      <c r="T31" s="870"/>
      <c r="U31" s="881"/>
      <c r="V31" s="405"/>
    </row>
    <row r="32" spans="2:22" x14ac:dyDescent="0.25">
      <c r="B32" s="450"/>
      <c r="C32" s="45"/>
      <c r="D32" s="44" t="s">
        <v>164</v>
      </c>
      <c r="E32" s="44"/>
      <c r="F32" s="44"/>
      <c r="G32" s="44"/>
      <c r="H32" s="44"/>
      <c r="I32" s="872" t="str">
        <f t="shared" si="4"/>
        <v xml:space="preserve"> </v>
      </c>
      <c r="J32" s="1465"/>
      <c r="K32" s="888">
        <f t="shared" si="5"/>
        <v>0</v>
      </c>
      <c r="L32" s="874"/>
      <c r="M32" s="889"/>
      <c r="N32" s="889"/>
      <c r="O32" s="889"/>
      <c r="P32" s="889"/>
      <c r="Q32" s="889"/>
      <c r="R32" s="461"/>
      <c r="S32" s="882">
        <f t="shared" si="6"/>
        <v>0</v>
      </c>
      <c r="T32" s="874"/>
      <c r="U32" s="883"/>
      <c r="V32" s="405"/>
    </row>
    <row r="33" spans="2:22" x14ac:dyDescent="0.25">
      <c r="B33" s="450"/>
      <c r="C33" s="45"/>
      <c r="D33" s="44" t="s">
        <v>165</v>
      </c>
      <c r="E33" s="44"/>
      <c r="F33" s="44"/>
      <c r="G33" s="44"/>
      <c r="H33" s="44"/>
      <c r="I33" s="872" t="str">
        <f t="shared" si="4"/>
        <v xml:space="preserve"> </v>
      </c>
      <c r="J33" s="1465"/>
      <c r="K33" s="888">
        <f t="shared" si="5"/>
        <v>0</v>
      </c>
      <c r="L33" s="874"/>
      <c r="M33" s="889"/>
      <c r="N33" s="889"/>
      <c r="O33" s="889"/>
      <c r="P33" s="889"/>
      <c r="Q33" s="889"/>
      <c r="R33" s="461"/>
      <c r="S33" s="882">
        <f t="shared" si="6"/>
        <v>0</v>
      </c>
      <c r="T33" s="874"/>
      <c r="U33" s="883"/>
      <c r="V33" s="405"/>
    </row>
    <row r="34" spans="2:22" x14ac:dyDescent="0.25">
      <c r="B34" s="450"/>
      <c r="C34" s="45"/>
      <c r="D34" s="44" t="s">
        <v>166</v>
      </c>
      <c r="E34" s="44"/>
      <c r="F34" s="44"/>
      <c r="G34" s="44"/>
      <c r="H34" s="44"/>
      <c r="I34" s="872" t="str">
        <f t="shared" si="4"/>
        <v xml:space="preserve"> </v>
      </c>
      <c r="J34" s="1465"/>
      <c r="K34" s="888">
        <f t="shared" si="5"/>
        <v>0</v>
      </c>
      <c r="L34" s="874"/>
      <c r="M34" s="889"/>
      <c r="N34" s="889"/>
      <c r="O34" s="889"/>
      <c r="P34" s="889"/>
      <c r="Q34" s="889"/>
      <c r="R34" s="461"/>
      <c r="S34" s="882">
        <f t="shared" si="6"/>
        <v>0</v>
      </c>
      <c r="T34" s="874"/>
      <c r="U34" s="883"/>
      <c r="V34" s="405"/>
    </row>
    <row r="35" spans="2:22" x14ac:dyDescent="0.25">
      <c r="B35" s="450"/>
      <c r="C35" s="45"/>
      <c r="D35" s="44" t="s">
        <v>167</v>
      </c>
      <c r="E35" s="44"/>
      <c r="F35" s="44"/>
      <c r="G35" s="44"/>
      <c r="H35" s="44"/>
      <c r="I35" s="872" t="str">
        <f t="shared" si="4"/>
        <v xml:space="preserve"> </v>
      </c>
      <c r="J35" s="1465"/>
      <c r="K35" s="888">
        <f t="shared" si="5"/>
        <v>0</v>
      </c>
      <c r="L35" s="874"/>
      <c r="M35" s="889"/>
      <c r="N35" s="889"/>
      <c r="O35" s="889"/>
      <c r="P35" s="889"/>
      <c r="Q35" s="889"/>
      <c r="R35" s="461"/>
      <c r="S35" s="882">
        <f t="shared" si="6"/>
        <v>0</v>
      </c>
      <c r="T35" s="874"/>
      <c r="U35" s="883"/>
      <c r="V35" s="405"/>
    </row>
    <row r="36" spans="2:22" x14ac:dyDescent="0.25">
      <c r="B36" s="450"/>
      <c r="C36" s="45"/>
      <c r="D36" s="44" t="s">
        <v>505</v>
      </c>
      <c r="E36" s="44"/>
      <c r="F36" s="44"/>
      <c r="G36" s="350">
        <f>IFERROR(J36/(J32+J34+J35+J44),)</f>
        <v>0</v>
      </c>
      <c r="H36" s="53"/>
      <c r="I36" s="872" t="str">
        <f t="shared" si="4"/>
        <v xml:space="preserve"> </v>
      </c>
      <c r="J36" s="1465"/>
      <c r="K36" s="888">
        <f t="shared" si="5"/>
        <v>0</v>
      </c>
      <c r="L36" s="874"/>
      <c r="M36" s="889"/>
      <c r="N36" s="889"/>
      <c r="O36" s="889"/>
      <c r="P36" s="889"/>
      <c r="Q36" s="889"/>
      <c r="R36" s="461"/>
      <c r="S36" s="882">
        <f t="shared" si="6"/>
        <v>0</v>
      </c>
      <c r="T36" s="874"/>
      <c r="U36" s="883"/>
      <c r="V36" s="405"/>
    </row>
    <row r="37" spans="2:22" x14ac:dyDescent="0.25">
      <c r="B37" s="450"/>
      <c r="C37" s="45"/>
      <c r="D37" s="44" t="s">
        <v>169</v>
      </c>
      <c r="E37" s="44"/>
      <c r="F37" s="44"/>
      <c r="G37" s="350">
        <f>IFERROR(J37/(J33+J34+J35+J44),)</f>
        <v>0</v>
      </c>
      <c r="H37" s="53"/>
      <c r="I37" s="872" t="str">
        <f t="shared" si="4"/>
        <v xml:space="preserve"> </v>
      </c>
      <c r="J37" s="1465"/>
      <c r="K37" s="888">
        <f t="shared" si="5"/>
        <v>0</v>
      </c>
      <c r="L37" s="874"/>
      <c r="M37" s="889"/>
      <c r="N37" s="889"/>
      <c r="O37" s="889"/>
      <c r="P37" s="889"/>
      <c r="Q37" s="889"/>
      <c r="R37" s="461"/>
      <c r="S37" s="882">
        <f t="shared" si="6"/>
        <v>0</v>
      </c>
      <c r="T37" s="874"/>
      <c r="U37" s="883"/>
      <c r="V37" s="405"/>
    </row>
    <row r="38" spans="2:22" x14ac:dyDescent="0.25">
      <c r="B38" s="450"/>
      <c r="C38" s="45"/>
      <c r="D38" s="44" t="s">
        <v>170</v>
      </c>
      <c r="E38" s="44"/>
      <c r="F38" s="44"/>
      <c r="G38" s="44"/>
      <c r="H38" s="44"/>
      <c r="I38" s="872" t="str">
        <f t="shared" si="4"/>
        <v xml:space="preserve"> </v>
      </c>
      <c r="J38" s="1465"/>
      <c r="K38" s="888">
        <f t="shared" si="5"/>
        <v>0</v>
      </c>
      <c r="L38" s="874"/>
      <c r="M38" s="889"/>
      <c r="N38" s="889"/>
      <c r="O38" s="889"/>
      <c r="P38" s="889"/>
      <c r="Q38" s="889"/>
      <c r="R38" s="461"/>
      <c r="S38" s="882">
        <f t="shared" si="6"/>
        <v>0</v>
      </c>
      <c r="T38" s="874"/>
      <c r="U38" s="883"/>
      <c r="V38" s="405"/>
    </row>
    <row r="39" spans="2:22" x14ac:dyDescent="0.25">
      <c r="B39" s="450"/>
      <c r="C39" s="45"/>
      <c r="D39" s="44" t="s">
        <v>171</v>
      </c>
      <c r="E39" s="44"/>
      <c r="F39" s="44"/>
      <c r="G39" s="44"/>
      <c r="H39" s="44"/>
      <c r="I39" s="872" t="str">
        <f t="shared" si="4"/>
        <v xml:space="preserve"> </v>
      </c>
      <c r="J39" s="1465"/>
      <c r="K39" s="888">
        <f t="shared" si="5"/>
        <v>0</v>
      </c>
      <c r="L39" s="874"/>
      <c r="M39" s="889"/>
      <c r="N39" s="889"/>
      <c r="O39" s="889"/>
      <c r="P39" s="889"/>
      <c r="Q39" s="889"/>
      <c r="R39" s="461"/>
      <c r="S39" s="882">
        <f t="shared" si="6"/>
        <v>0</v>
      </c>
      <c r="T39" s="874"/>
      <c r="U39" s="883"/>
      <c r="V39" s="405"/>
    </row>
    <row r="40" spans="2:22" x14ac:dyDescent="0.25">
      <c r="B40" s="450"/>
      <c r="C40" s="45"/>
      <c r="D40" s="44" t="s">
        <v>172</v>
      </c>
      <c r="E40" s="44"/>
      <c r="F40" s="44"/>
      <c r="G40" s="44"/>
      <c r="H40" s="44"/>
      <c r="I40" s="872" t="str">
        <f t="shared" si="4"/>
        <v xml:space="preserve"> </v>
      </c>
      <c r="J40" s="1465"/>
      <c r="K40" s="888">
        <f t="shared" si="5"/>
        <v>0</v>
      </c>
      <c r="L40" s="874"/>
      <c r="M40" s="889"/>
      <c r="N40" s="889"/>
      <c r="O40" s="889"/>
      <c r="P40" s="889"/>
      <c r="Q40" s="889"/>
      <c r="R40" s="461"/>
      <c r="S40" s="882">
        <f t="shared" si="6"/>
        <v>0</v>
      </c>
      <c r="T40" s="874"/>
      <c r="U40" s="883"/>
      <c r="V40" s="405"/>
    </row>
    <row r="41" spans="2:22" x14ac:dyDescent="0.25">
      <c r="B41" s="450"/>
      <c r="C41" s="45"/>
      <c r="D41" s="44" t="s">
        <v>173</v>
      </c>
      <c r="E41" s="44"/>
      <c r="F41" s="44"/>
      <c r="G41" s="44"/>
      <c r="H41" s="44"/>
      <c r="I41" s="872" t="str">
        <f t="shared" si="4"/>
        <v xml:space="preserve"> </v>
      </c>
      <c r="J41" s="1465"/>
      <c r="K41" s="888">
        <f t="shared" si="5"/>
        <v>0</v>
      </c>
      <c r="L41" s="874"/>
      <c r="M41" s="889"/>
      <c r="N41" s="889"/>
      <c r="O41" s="889"/>
      <c r="P41" s="889"/>
      <c r="Q41" s="889"/>
      <c r="R41" s="461"/>
      <c r="S41" s="882">
        <f t="shared" si="6"/>
        <v>0</v>
      </c>
      <c r="T41" s="874"/>
      <c r="U41" s="883"/>
      <c r="V41" s="405"/>
    </row>
    <row r="42" spans="2:22" x14ac:dyDescent="0.25">
      <c r="B42" s="450"/>
      <c r="C42" s="45"/>
      <c r="D42" s="44" t="s">
        <v>174</v>
      </c>
      <c r="E42" s="44"/>
      <c r="F42" s="44"/>
      <c r="G42" s="44"/>
      <c r="H42" s="44"/>
      <c r="I42" s="872" t="str">
        <f t="shared" si="4"/>
        <v xml:space="preserve"> </v>
      </c>
      <c r="J42" s="1465"/>
      <c r="K42" s="888">
        <f t="shared" si="5"/>
        <v>0</v>
      </c>
      <c r="L42" s="874"/>
      <c r="M42" s="889"/>
      <c r="N42" s="889"/>
      <c r="O42" s="889"/>
      <c r="P42" s="889"/>
      <c r="Q42" s="889"/>
      <c r="R42" s="461"/>
      <c r="S42" s="882">
        <f t="shared" si="6"/>
        <v>0</v>
      </c>
      <c r="T42" s="874"/>
      <c r="U42" s="883"/>
      <c r="V42" s="405"/>
    </row>
    <row r="43" spans="2:22" x14ac:dyDescent="0.25">
      <c r="B43" s="450"/>
      <c r="C43" s="45"/>
      <c r="D43" s="44" t="s">
        <v>175</v>
      </c>
      <c r="E43" s="44"/>
      <c r="F43" s="44"/>
      <c r="G43" s="44"/>
      <c r="H43" s="44"/>
      <c r="I43" s="872" t="str">
        <f t="shared" si="4"/>
        <v xml:space="preserve"> </v>
      </c>
      <c r="J43" s="1465"/>
      <c r="K43" s="888">
        <f t="shared" si="5"/>
        <v>0</v>
      </c>
      <c r="L43" s="874"/>
      <c r="M43" s="889"/>
      <c r="N43" s="889"/>
      <c r="O43" s="889"/>
      <c r="P43" s="889"/>
      <c r="Q43" s="889"/>
      <c r="R43" s="461"/>
      <c r="S43" s="882">
        <f t="shared" si="6"/>
        <v>0</v>
      </c>
      <c r="T43" s="874"/>
      <c r="U43" s="883"/>
      <c r="V43" s="405"/>
    </row>
    <row r="44" spans="2:22" x14ac:dyDescent="0.25">
      <c r="B44" s="450"/>
      <c r="C44" s="45"/>
      <c r="D44" s="44" t="s">
        <v>176</v>
      </c>
      <c r="E44" s="44"/>
      <c r="F44" s="44"/>
      <c r="G44" s="44"/>
      <c r="H44" s="44"/>
      <c r="I44" s="872" t="str">
        <f t="shared" si="4"/>
        <v xml:space="preserve"> </v>
      </c>
      <c r="J44" s="1465"/>
      <c r="K44" s="888">
        <f t="shared" si="5"/>
        <v>0</v>
      </c>
      <c r="L44" s="874"/>
      <c r="M44" s="889"/>
      <c r="N44" s="889"/>
      <c r="O44" s="889"/>
      <c r="P44" s="889"/>
      <c r="Q44" s="889"/>
      <c r="R44" s="461"/>
      <c r="S44" s="882">
        <f t="shared" si="6"/>
        <v>0</v>
      </c>
      <c r="T44" s="874"/>
      <c r="U44" s="883"/>
      <c r="V44" s="405"/>
    </row>
    <row r="45" spans="2:22" x14ac:dyDescent="0.25">
      <c r="B45" s="450"/>
      <c r="C45" s="45"/>
      <c r="D45" s="44" t="s">
        <v>177</v>
      </c>
      <c r="E45" s="44"/>
      <c r="F45" s="44"/>
      <c r="G45" s="44"/>
      <c r="H45" s="44"/>
      <c r="I45" s="872" t="str">
        <f t="shared" si="4"/>
        <v xml:space="preserve"> </v>
      </c>
      <c r="J45" s="1465"/>
      <c r="K45" s="888">
        <f t="shared" si="5"/>
        <v>0</v>
      </c>
      <c r="L45" s="874"/>
      <c r="M45" s="889"/>
      <c r="N45" s="889"/>
      <c r="O45" s="889"/>
      <c r="P45" s="889"/>
      <c r="Q45" s="889"/>
      <c r="R45" s="461"/>
      <c r="S45" s="882">
        <f t="shared" si="6"/>
        <v>0</v>
      </c>
      <c r="T45" s="874"/>
      <c r="U45" s="883"/>
      <c r="V45" s="405"/>
    </row>
    <row r="46" spans="2:22" x14ac:dyDescent="0.25">
      <c r="B46" s="450"/>
      <c r="C46" s="45"/>
      <c r="D46" s="49" t="s">
        <v>428</v>
      </c>
      <c r="E46" s="2441"/>
      <c r="F46" s="2442"/>
      <c r="G46" s="2443"/>
      <c r="H46" s="49"/>
      <c r="I46" s="876" t="str">
        <f t="shared" si="4"/>
        <v xml:space="preserve"> </v>
      </c>
      <c r="J46" s="1466"/>
      <c r="K46" s="890">
        <f t="shared" si="5"/>
        <v>0</v>
      </c>
      <c r="L46" s="891"/>
      <c r="M46" s="892"/>
      <c r="N46" s="892"/>
      <c r="O46" s="892"/>
      <c r="P46" s="892"/>
      <c r="Q46" s="892"/>
      <c r="R46" s="461"/>
      <c r="S46" s="894">
        <f t="shared" si="6"/>
        <v>0</v>
      </c>
      <c r="T46" s="891"/>
      <c r="U46" s="895"/>
      <c r="V46" s="405"/>
    </row>
    <row r="47" spans="2:22" ht="15.75" thickBot="1" x14ac:dyDescent="0.3">
      <c r="B47" s="450"/>
      <c r="C47" s="45"/>
      <c r="D47" s="44"/>
      <c r="E47" s="44"/>
      <c r="F47" s="44"/>
      <c r="G47" s="48" t="s">
        <v>161</v>
      </c>
      <c r="H47" s="48"/>
      <c r="I47" s="351" t="str">
        <f t="shared" si="4"/>
        <v xml:space="preserve"> </v>
      </c>
      <c r="J47" s="36">
        <f t="shared" ref="J47:Q47" si="7">SUM(J31:J46)</f>
        <v>0</v>
      </c>
      <c r="K47" s="22">
        <f t="shared" si="7"/>
        <v>0</v>
      </c>
      <c r="L47" s="1527">
        <f t="shared" si="7"/>
        <v>0</v>
      </c>
      <c r="M47" s="1528">
        <f t="shared" si="7"/>
        <v>0</v>
      </c>
      <c r="N47" s="1528">
        <f t="shared" si="7"/>
        <v>0</v>
      </c>
      <c r="O47" s="1528">
        <f t="shared" si="7"/>
        <v>0</v>
      </c>
      <c r="P47" s="1528">
        <f t="shared" si="7"/>
        <v>0</v>
      </c>
      <c r="Q47" s="1528">
        <f t="shared" si="7"/>
        <v>0</v>
      </c>
      <c r="R47" s="462"/>
      <c r="S47" s="463">
        <f>SUM(S31:S46)</f>
        <v>0</v>
      </c>
      <c r="T47" s="1527">
        <f>SUM(T31:T46)</f>
        <v>0</v>
      </c>
      <c r="U47" s="1529">
        <f>SUM(U31:U46)</f>
        <v>0</v>
      </c>
      <c r="V47" s="405"/>
    </row>
    <row r="48" spans="2:22" ht="9" customHeight="1" thickBot="1" x14ac:dyDescent="0.3">
      <c r="B48" s="465"/>
      <c r="C48" s="28"/>
      <c r="D48" s="28"/>
      <c r="E48" s="28"/>
      <c r="F48" s="28"/>
      <c r="G48" s="28"/>
      <c r="H48" s="28"/>
      <c r="I48" s="412"/>
      <c r="J48" s="466"/>
      <c r="K48" s="467"/>
      <c r="L48" s="468"/>
      <c r="M48" s="29"/>
      <c r="N48" s="29"/>
      <c r="O48" s="29"/>
      <c r="P48" s="467"/>
      <c r="Q48" s="29"/>
      <c r="R48" s="469"/>
      <c r="S48" s="29"/>
      <c r="T48" s="468"/>
      <c r="U48" s="29"/>
      <c r="V48" s="413"/>
    </row>
    <row r="49" spans="2:22" ht="15.75" thickBot="1" x14ac:dyDescent="0.3">
      <c r="B49" s="450"/>
      <c r="C49" s="78" t="s">
        <v>178</v>
      </c>
      <c r="D49" s="78"/>
      <c r="E49" s="78"/>
      <c r="F49" s="78"/>
      <c r="G49" s="78"/>
      <c r="H49" s="47"/>
      <c r="I49" s="47"/>
      <c r="J49" s="47"/>
      <c r="K49" s="47"/>
      <c r="L49" s="452"/>
      <c r="M49" s="45"/>
      <c r="N49" s="45"/>
      <c r="O49" s="15"/>
      <c r="P49" s="459"/>
      <c r="Q49" s="459"/>
      <c r="R49" s="456"/>
      <c r="S49" s="68"/>
      <c r="T49" s="459"/>
      <c r="U49" s="459"/>
      <c r="V49" s="405"/>
    </row>
    <row r="50" spans="2:22" x14ac:dyDescent="0.25">
      <c r="B50" s="450"/>
      <c r="C50" s="45"/>
      <c r="D50" s="154" t="s">
        <v>179</v>
      </c>
      <c r="E50" s="154"/>
      <c r="F50" s="154"/>
      <c r="G50" s="154"/>
      <c r="H50" s="154"/>
      <c r="I50" s="868" t="str">
        <f t="shared" ref="I50:I63" si="8">IFERROR(J50/J$120," ")</f>
        <v xml:space="preserve"> </v>
      </c>
      <c r="J50" s="1467"/>
      <c r="K50" s="886">
        <f t="shared" ref="K50:K62" si="9">SUM(L50:Q50)</f>
        <v>0</v>
      </c>
      <c r="L50" s="870"/>
      <c r="M50" s="887"/>
      <c r="N50" s="887"/>
      <c r="O50" s="887"/>
      <c r="P50" s="887"/>
      <c r="Q50" s="887"/>
      <c r="R50" s="460"/>
      <c r="S50" s="893">
        <f t="shared" ref="S50:S62" si="10">SUM(T50:U50)</f>
        <v>0</v>
      </c>
      <c r="T50" s="870"/>
      <c r="U50" s="881"/>
      <c r="V50" s="405"/>
    </row>
    <row r="51" spans="2:22" x14ac:dyDescent="0.25">
      <c r="B51" s="450"/>
      <c r="C51" s="45"/>
      <c r="D51" s="44" t="s">
        <v>180</v>
      </c>
      <c r="E51" s="44"/>
      <c r="F51" s="44"/>
      <c r="G51" s="44"/>
      <c r="H51" s="44"/>
      <c r="I51" s="872" t="str">
        <f t="shared" si="8"/>
        <v xml:space="preserve"> </v>
      </c>
      <c r="J51" s="1465"/>
      <c r="K51" s="888">
        <f t="shared" si="9"/>
        <v>0</v>
      </c>
      <c r="L51" s="874"/>
      <c r="M51" s="889"/>
      <c r="N51" s="889"/>
      <c r="O51" s="889"/>
      <c r="P51" s="889"/>
      <c r="Q51" s="889"/>
      <c r="R51" s="461"/>
      <c r="S51" s="882">
        <f t="shared" si="10"/>
        <v>0</v>
      </c>
      <c r="T51" s="874"/>
      <c r="U51" s="883"/>
      <c r="V51" s="405"/>
    </row>
    <row r="52" spans="2:22" x14ac:dyDescent="0.25">
      <c r="B52" s="450"/>
      <c r="C52" s="45"/>
      <c r="D52" s="44" t="s">
        <v>181</v>
      </c>
      <c r="E52" s="44"/>
      <c r="F52" s="44"/>
      <c r="G52" s="44"/>
      <c r="H52" s="44"/>
      <c r="I52" s="872" t="str">
        <f t="shared" si="8"/>
        <v xml:space="preserve"> </v>
      </c>
      <c r="J52" s="1465"/>
      <c r="K52" s="888">
        <f t="shared" si="9"/>
        <v>0</v>
      </c>
      <c r="L52" s="874"/>
      <c r="M52" s="889"/>
      <c r="N52" s="889"/>
      <c r="O52" s="889"/>
      <c r="P52" s="889"/>
      <c r="Q52" s="889"/>
      <c r="R52" s="461"/>
      <c r="S52" s="882">
        <f t="shared" si="10"/>
        <v>0</v>
      </c>
      <c r="T52" s="874"/>
      <c r="U52" s="883"/>
      <c r="V52" s="405"/>
    </row>
    <row r="53" spans="2:22" x14ac:dyDescent="0.25">
      <c r="B53" s="450"/>
      <c r="C53" s="45"/>
      <c r="D53" s="44" t="s">
        <v>182</v>
      </c>
      <c r="E53" s="44"/>
      <c r="F53" s="44"/>
      <c r="G53" s="44"/>
      <c r="H53" s="44"/>
      <c r="I53" s="872" t="str">
        <f t="shared" si="8"/>
        <v xml:space="preserve"> </v>
      </c>
      <c r="J53" s="1465"/>
      <c r="K53" s="888">
        <f t="shared" si="9"/>
        <v>0</v>
      </c>
      <c r="L53" s="874"/>
      <c r="M53" s="889"/>
      <c r="N53" s="889"/>
      <c r="O53" s="889"/>
      <c r="P53" s="889"/>
      <c r="Q53" s="889"/>
      <c r="R53" s="461"/>
      <c r="S53" s="882">
        <f t="shared" si="10"/>
        <v>0</v>
      </c>
      <c r="T53" s="874"/>
      <c r="U53" s="883"/>
      <c r="V53" s="405"/>
    </row>
    <row r="54" spans="2:22" x14ac:dyDescent="0.25">
      <c r="B54" s="450"/>
      <c r="C54" s="45"/>
      <c r="D54" s="50" t="s">
        <v>183</v>
      </c>
      <c r="E54" s="50"/>
      <c r="F54" s="50"/>
      <c r="G54" s="50"/>
      <c r="H54" s="50"/>
      <c r="I54" s="872" t="str">
        <f t="shared" si="8"/>
        <v xml:space="preserve"> </v>
      </c>
      <c r="J54" s="1465"/>
      <c r="K54" s="888">
        <f t="shared" si="9"/>
        <v>0</v>
      </c>
      <c r="L54" s="874"/>
      <c r="M54" s="889"/>
      <c r="N54" s="889"/>
      <c r="O54" s="889"/>
      <c r="P54" s="889"/>
      <c r="Q54" s="889"/>
      <c r="R54" s="461"/>
      <c r="S54" s="882">
        <f t="shared" si="10"/>
        <v>0</v>
      </c>
      <c r="T54" s="874"/>
      <c r="U54" s="883"/>
      <c r="V54" s="405"/>
    </row>
    <row r="55" spans="2:22" x14ac:dyDescent="0.25">
      <c r="B55" s="450"/>
      <c r="C55" s="45"/>
      <c r="D55" s="44" t="s">
        <v>184</v>
      </c>
      <c r="E55" s="44"/>
      <c r="F55" s="44"/>
      <c r="G55" s="44"/>
      <c r="H55" s="44"/>
      <c r="I55" s="872" t="str">
        <f t="shared" si="8"/>
        <v xml:space="preserve"> </v>
      </c>
      <c r="J55" s="1465"/>
      <c r="K55" s="888">
        <f t="shared" si="9"/>
        <v>0</v>
      </c>
      <c r="L55" s="874"/>
      <c r="M55" s="889"/>
      <c r="N55" s="889"/>
      <c r="O55" s="889"/>
      <c r="P55" s="889"/>
      <c r="Q55" s="889"/>
      <c r="R55" s="461"/>
      <c r="S55" s="882">
        <f t="shared" si="10"/>
        <v>0</v>
      </c>
      <c r="T55" s="874"/>
      <c r="U55" s="883"/>
      <c r="V55" s="405"/>
    </row>
    <row r="56" spans="2:22" x14ac:dyDescent="0.25">
      <c r="B56" s="450"/>
      <c r="C56" s="45"/>
      <c r="D56" s="44" t="s">
        <v>185</v>
      </c>
      <c r="E56" s="44"/>
      <c r="F56" s="44"/>
      <c r="G56" s="44"/>
      <c r="H56" s="44"/>
      <c r="I56" s="872" t="str">
        <f t="shared" si="8"/>
        <v xml:space="preserve"> </v>
      </c>
      <c r="J56" s="1465"/>
      <c r="K56" s="888">
        <f t="shared" si="9"/>
        <v>0</v>
      </c>
      <c r="L56" s="874"/>
      <c r="M56" s="889"/>
      <c r="N56" s="889"/>
      <c r="O56" s="889"/>
      <c r="P56" s="889"/>
      <c r="Q56" s="889"/>
      <c r="R56" s="461"/>
      <c r="S56" s="882">
        <f t="shared" si="10"/>
        <v>0</v>
      </c>
      <c r="T56" s="874"/>
      <c r="U56" s="883"/>
      <c r="V56" s="405"/>
    </row>
    <row r="57" spans="2:22" x14ac:dyDescent="0.25">
      <c r="B57" s="450"/>
      <c r="C57" s="45"/>
      <c r="D57" s="44" t="s">
        <v>186</v>
      </c>
      <c r="E57" s="44"/>
      <c r="F57" s="44"/>
      <c r="G57" s="44"/>
      <c r="H57" s="44"/>
      <c r="I57" s="872" t="str">
        <f t="shared" si="8"/>
        <v xml:space="preserve"> </v>
      </c>
      <c r="J57" s="1465"/>
      <c r="K57" s="888">
        <f t="shared" si="9"/>
        <v>0</v>
      </c>
      <c r="L57" s="874"/>
      <c r="M57" s="889"/>
      <c r="N57" s="889"/>
      <c r="O57" s="889"/>
      <c r="P57" s="889"/>
      <c r="Q57" s="889"/>
      <c r="R57" s="461"/>
      <c r="S57" s="882">
        <f t="shared" si="10"/>
        <v>0</v>
      </c>
      <c r="T57" s="874"/>
      <c r="U57" s="883"/>
      <c r="V57" s="405"/>
    </row>
    <row r="58" spans="2:22" x14ac:dyDescent="0.25">
      <c r="B58" s="450"/>
      <c r="C58" s="45"/>
      <c r="D58" s="50" t="s">
        <v>187</v>
      </c>
      <c r="E58" s="50"/>
      <c r="F58" s="50"/>
      <c r="G58" s="50"/>
      <c r="H58" s="50"/>
      <c r="I58" s="872" t="str">
        <f t="shared" si="8"/>
        <v xml:space="preserve"> </v>
      </c>
      <c r="J58" s="1465"/>
      <c r="K58" s="888">
        <f t="shared" si="9"/>
        <v>0</v>
      </c>
      <c r="L58" s="874"/>
      <c r="M58" s="889"/>
      <c r="N58" s="889"/>
      <c r="O58" s="889"/>
      <c r="P58" s="889"/>
      <c r="Q58" s="889"/>
      <c r="R58" s="461"/>
      <c r="S58" s="882">
        <f t="shared" si="10"/>
        <v>0</v>
      </c>
      <c r="T58" s="874"/>
      <c r="U58" s="883"/>
      <c r="V58" s="405"/>
    </row>
    <row r="59" spans="2:22" x14ac:dyDescent="0.25">
      <c r="B59" s="450"/>
      <c r="C59" s="45"/>
      <c r="D59" s="50" t="s">
        <v>188</v>
      </c>
      <c r="E59" s="50"/>
      <c r="F59" s="50"/>
      <c r="G59" s="50"/>
      <c r="H59" s="50"/>
      <c r="I59" s="872" t="str">
        <f t="shared" si="8"/>
        <v xml:space="preserve"> </v>
      </c>
      <c r="J59" s="1465"/>
      <c r="K59" s="888">
        <f t="shared" si="9"/>
        <v>0</v>
      </c>
      <c r="L59" s="874"/>
      <c r="M59" s="889"/>
      <c r="N59" s="889"/>
      <c r="O59" s="889"/>
      <c r="P59" s="889"/>
      <c r="Q59" s="889"/>
      <c r="R59" s="461"/>
      <c r="S59" s="882">
        <f t="shared" si="10"/>
        <v>0</v>
      </c>
      <c r="T59" s="874"/>
      <c r="U59" s="883"/>
      <c r="V59" s="405"/>
    </row>
    <row r="60" spans="2:22" x14ac:dyDescent="0.25">
      <c r="B60" s="450"/>
      <c r="C60" s="45"/>
      <c r="D60" s="50" t="s">
        <v>189</v>
      </c>
      <c r="E60" s="50"/>
      <c r="F60" s="50"/>
      <c r="G60" s="50"/>
      <c r="H60" s="50"/>
      <c r="I60" s="872" t="str">
        <f t="shared" si="8"/>
        <v xml:space="preserve"> </v>
      </c>
      <c r="J60" s="1465"/>
      <c r="K60" s="888">
        <f t="shared" si="9"/>
        <v>0</v>
      </c>
      <c r="L60" s="896"/>
      <c r="M60" s="897"/>
      <c r="N60" s="897"/>
      <c r="O60" s="897"/>
      <c r="P60" s="897"/>
      <c r="Q60" s="897"/>
      <c r="R60" s="461"/>
      <c r="S60" s="882">
        <f t="shared" si="10"/>
        <v>0</v>
      </c>
      <c r="T60" s="896"/>
      <c r="U60" s="899"/>
      <c r="V60" s="405"/>
    </row>
    <row r="61" spans="2:22" x14ac:dyDescent="0.25">
      <c r="B61" s="450"/>
      <c r="C61" s="45"/>
      <c r="D61" s="83" t="s">
        <v>190</v>
      </c>
      <c r="E61" s="83"/>
      <c r="F61" s="83"/>
      <c r="G61" s="83"/>
      <c r="H61" s="83"/>
      <c r="I61" s="872" t="str">
        <f t="shared" si="8"/>
        <v xml:space="preserve"> </v>
      </c>
      <c r="J61" s="1465"/>
      <c r="K61" s="888">
        <f t="shared" si="9"/>
        <v>0</v>
      </c>
      <c r="L61" s="896"/>
      <c r="M61" s="897"/>
      <c r="N61" s="897"/>
      <c r="O61" s="897"/>
      <c r="P61" s="897"/>
      <c r="Q61" s="897"/>
      <c r="R61" s="461"/>
      <c r="S61" s="882">
        <f t="shared" si="10"/>
        <v>0</v>
      </c>
      <c r="T61" s="896"/>
      <c r="U61" s="899"/>
      <c r="V61" s="405"/>
    </row>
    <row r="62" spans="2:22" x14ac:dyDescent="0.25">
      <c r="B62" s="450"/>
      <c r="C62" s="45"/>
      <c r="D62" s="49" t="s">
        <v>428</v>
      </c>
      <c r="E62" s="2441"/>
      <c r="F62" s="2442"/>
      <c r="G62" s="2443"/>
      <c r="H62" s="49"/>
      <c r="I62" s="876" t="str">
        <f t="shared" si="8"/>
        <v xml:space="preserve"> </v>
      </c>
      <c r="J62" s="1466"/>
      <c r="K62" s="890">
        <f t="shared" si="9"/>
        <v>0</v>
      </c>
      <c r="L62" s="878"/>
      <c r="M62" s="898"/>
      <c r="N62" s="898"/>
      <c r="O62" s="898"/>
      <c r="P62" s="898"/>
      <c r="Q62" s="898"/>
      <c r="R62" s="461"/>
      <c r="S62" s="894">
        <f t="shared" si="10"/>
        <v>0</v>
      </c>
      <c r="T62" s="878"/>
      <c r="U62" s="885"/>
      <c r="V62" s="405"/>
    </row>
    <row r="63" spans="2:22" ht="15.75" thickBot="1" x14ac:dyDescent="0.3">
      <c r="B63" s="450"/>
      <c r="C63" s="45"/>
      <c r="D63" s="44"/>
      <c r="E63" s="44"/>
      <c r="F63" s="44"/>
      <c r="G63" s="48" t="s">
        <v>161</v>
      </c>
      <c r="H63" s="48"/>
      <c r="I63" s="351" t="str">
        <f t="shared" si="8"/>
        <v xml:space="preserve"> </v>
      </c>
      <c r="J63" s="36">
        <f t="shared" ref="J63:Q63" si="11">SUM(J50:J62)</f>
        <v>0</v>
      </c>
      <c r="K63" s="22">
        <f t="shared" si="11"/>
        <v>0</v>
      </c>
      <c r="L63" s="1527">
        <f t="shared" si="11"/>
        <v>0</v>
      </c>
      <c r="M63" s="1528">
        <f t="shared" si="11"/>
        <v>0</v>
      </c>
      <c r="N63" s="1528">
        <f t="shared" si="11"/>
        <v>0</v>
      </c>
      <c r="O63" s="1528">
        <f t="shared" si="11"/>
        <v>0</v>
      </c>
      <c r="P63" s="1528">
        <f t="shared" si="11"/>
        <v>0</v>
      </c>
      <c r="Q63" s="1528">
        <f t="shared" si="11"/>
        <v>0</v>
      </c>
      <c r="R63" s="462"/>
      <c r="S63" s="463">
        <f>SUM(S50:S62)</f>
        <v>0</v>
      </c>
      <c r="T63" s="1527">
        <f>SUM(T50:T62)</f>
        <v>0</v>
      </c>
      <c r="U63" s="1529">
        <f>SUM(U50:U62)</f>
        <v>0</v>
      </c>
      <c r="V63" s="405"/>
    </row>
    <row r="64" spans="2:22" ht="3.75" customHeight="1" x14ac:dyDescent="0.25">
      <c r="B64" s="450"/>
      <c r="C64" s="44"/>
      <c r="D64" s="44"/>
      <c r="E64" s="44"/>
      <c r="F64" s="44"/>
      <c r="G64" s="44"/>
      <c r="H64" s="44"/>
      <c r="I64" s="406"/>
      <c r="J64" s="470"/>
      <c r="K64" s="471"/>
      <c r="L64" s="472"/>
      <c r="M64" s="356"/>
      <c r="N64" s="356"/>
      <c r="O64" s="356"/>
      <c r="P64" s="471"/>
      <c r="Q64" s="356"/>
      <c r="R64" s="473"/>
      <c r="S64" s="356"/>
      <c r="T64" s="472"/>
      <c r="U64" s="356"/>
      <c r="V64" s="405"/>
    </row>
    <row r="65" spans="2:22" ht="15.75" thickBot="1" x14ac:dyDescent="0.3">
      <c r="B65" s="450"/>
      <c r="C65" s="78" t="s">
        <v>191</v>
      </c>
      <c r="D65" s="78"/>
      <c r="E65" s="78"/>
      <c r="F65" s="78"/>
      <c r="G65" s="78"/>
      <c r="H65" s="47"/>
      <c r="I65" s="47"/>
      <c r="J65" s="47"/>
      <c r="K65" s="47"/>
      <c r="L65" s="452"/>
      <c r="M65" s="45"/>
      <c r="N65" s="45"/>
      <c r="O65" s="15"/>
      <c r="P65" s="459"/>
      <c r="Q65" s="459"/>
      <c r="R65" s="456"/>
      <c r="S65" s="68"/>
      <c r="T65" s="459"/>
      <c r="U65" s="459"/>
      <c r="V65" s="405"/>
    </row>
    <row r="66" spans="2:22" x14ac:dyDescent="0.25">
      <c r="B66" s="450"/>
      <c r="C66" s="45"/>
      <c r="D66" s="154" t="s">
        <v>192</v>
      </c>
      <c r="E66" s="154"/>
      <c r="F66" s="154"/>
      <c r="G66" s="154"/>
      <c r="H66" s="154"/>
      <c r="I66" s="868" t="str">
        <f>IFERROR(J66/J$120," ")</f>
        <v xml:space="preserve"> </v>
      </c>
      <c r="J66" s="1467"/>
      <c r="K66" s="886">
        <f>SUM(L66:Q66)</f>
        <v>0</v>
      </c>
      <c r="L66" s="870"/>
      <c r="M66" s="887"/>
      <c r="N66" s="887"/>
      <c r="O66" s="887"/>
      <c r="P66" s="887"/>
      <c r="Q66" s="887"/>
      <c r="R66" s="460"/>
      <c r="S66" s="893">
        <f>SUM(T66:U66)</f>
        <v>0</v>
      </c>
      <c r="T66" s="870"/>
      <c r="U66" s="881"/>
      <c r="V66" s="405"/>
    </row>
    <row r="67" spans="2:22" x14ac:dyDescent="0.25">
      <c r="B67" s="450"/>
      <c r="C67" s="45"/>
      <c r="D67" s="44" t="s">
        <v>193</v>
      </c>
      <c r="E67" s="44"/>
      <c r="F67" s="44"/>
      <c r="G67" s="44"/>
      <c r="H67" s="44"/>
      <c r="I67" s="876" t="str">
        <f>IFERROR(J67/J$120," ")</f>
        <v xml:space="preserve"> </v>
      </c>
      <c r="J67" s="1466"/>
      <c r="K67" s="890">
        <f>SUM(L67:Q67)</f>
        <v>0</v>
      </c>
      <c r="L67" s="891"/>
      <c r="M67" s="892"/>
      <c r="N67" s="892"/>
      <c r="O67" s="892"/>
      <c r="P67" s="892"/>
      <c r="Q67" s="892"/>
      <c r="R67" s="461"/>
      <c r="S67" s="894">
        <f>SUM(T67:U67)</f>
        <v>0</v>
      </c>
      <c r="T67" s="891"/>
      <c r="U67" s="895"/>
      <c r="V67" s="405"/>
    </row>
    <row r="68" spans="2:22" ht="15.75" thickBot="1" x14ac:dyDescent="0.3">
      <c r="B68" s="450"/>
      <c r="C68" s="45"/>
      <c r="D68" s="44"/>
      <c r="E68" s="44"/>
      <c r="F68" s="44"/>
      <c r="G68" s="48" t="s">
        <v>161</v>
      </c>
      <c r="H68" s="48"/>
      <c r="I68" s="351" t="str">
        <f>IFERROR(J68/J$120," ")</f>
        <v xml:space="preserve"> </v>
      </c>
      <c r="J68" s="36">
        <f t="shared" ref="J68:Q68" si="12">SUM(J66:J67)</f>
        <v>0</v>
      </c>
      <c r="K68" s="22">
        <f t="shared" si="12"/>
        <v>0</v>
      </c>
      <c r="L68" s="1527">
        <f t="shared" si="12"/>
        <v>0</v>
      </c>
      <c r="M68" s="1528">
        <f t="shared" si="12"/>
        <v>0</v>
      </c>
      <c r="N68" s="1528">
        <f t="shared" si="12"/>
        <v>0</v>
      </c>
      <c r="O68" s="1528">
        <f t="shared" si="12"/>
        <v>0</v>
      </c>
      <c r="P68" s="1528">
        <f t="shared" si="12"/>
        <v>0</v>
      </c>
      <c r="Q68" s="1528">
        <f t="shared" si="12"/>
        <v>0</v>
      </c>
      <c r="R68" s="462"/>
      <c r="S68" s="463">
        <f>SUM(S66:S67)</f>
        <v>0</v>
      </c>
      <c r="T68" s="1527">
        <f>SUM(T66:T67)</f>
        <v>0</v>
      </c>
      <c r="U68" s="1529">
        <f>SUM(U66:U67)</f>
        <v>0</v>
      </c>
      <c r="V68" s="405"/>
    </row>
    <row r="69" spans="2:22" ht="3.75" customHeight="1" x14ac:dyDescent="0.25">
      <c r="B69" s="450"/>
      <c r="C69" s="44"/>
      <c r="D69" s="48"/>
      <c r="E69" s="48"/>
      <c r="F69" s="48"/>
      <c r="G69" s="48"/>
      <c r="H69" s="48"/>
      <c r="I69" s="452"/>
      <c r="J69" s="452"/>
      <c r="K69" s="45"/>
      <c r="L69" s="16"/>
      <c r="M69" s="16"/>
      <c r="N69" s="16"/>
      <c r="O69" s="16"/>
      <c r="P69" s="45"/>
      <c r="Q69" s="16"/>
      <c r="R69" s="461"/>
      <c r="S69" s="16"/>
      <c r="T69" s="16"/>
      <c r="U69" s="16"/>
      <c r="V69" s="405"/>
    </row>
    <row r="70" spans="2:22" ht="15.75" thickBot="1" x14ac:dyDescent="0.3">
      <c r="B70" s="450"/>
      <c r="C70" s="78" t="s">
        <v>194</v>
      </c>
      <c r="D70" s="78"/>
      <c r="E70" s="78"/>
      <c r="F70" s="78"/>
      <c r="G70" s="78"/>
      <c r="H70" s="47"/>
      <c r="I70" s="47"/>
      <c r="J70" s="47"/>
      <c r="K70" s="47"/>
      <c r="L70" s="452"/>
      <c r="M70" s="45"/>
      <c r="N70" s="45"/>
      <c r="O70" s="15"/>
      <c r="P70" s="459"/>
      <c r="Q70" s="459"/>
      <c r="R70" s="456"/>
      <c r="S70" s="68"/>
      <c r="T70" s="459"/>
      <c r="U70" s="459"/>
      <c r="V70" s="405"/>
    </row>
    <row r="71" spans="2:22" x14ac:dyDescent="0.25">
      <c r="B71" s="450"/>
      <c r="C71" s="45"/>
      <c r="D71" s="154" t="s">
        <v>195</v>
      </c>
      <c r="E71" s="154"/>
      <c r="F71" s="154"/>
      <c r="G71" s="154"/>
      <c r="H71" s="154"/>
      <c r="I71" s="868" t="str">
        <f t="shared" ref="I71:I76" si="13">IFERROR(J71/J$120," ")</f>
        <v xml:space="preserve"> </v>
      </c>
      <c r="J71" s="1467"/>
      <c r="K71" s="886">
        <f>SUM(L71:Q71)</f>
        <v>0</v>
      </c>
      <c r="L71" s="870"/>
      <c r="M71" s="887"/>
      <c r="N71" s="887"/>
      <c r="O71" s="887"/>
      <c r="P71" s="887"/>
      <c r="Q71" s="887"/>
      <c r="R71" s="460"/>
      <c r="S71" s="893">
        <f>SUM(T71:U71)</f>
        <v>0</v>
      </c>
      <c r="T71" s="870"/>
      <c r="U71" s="881"/>
      <c r="V71" s="405"/>
    </row>
    <row r="72" spans="2:22" x14ac:dyDescent="0.25">
      <c r="B72" s="450"/>
      <c r="C72" s="45"/>
      <c r="D72" s="44" t="s">
        <v>196</v>
      </c>
      <c r="E72" s="44"/>
      <c r="F72" s="44"/>
      <c r="G72" s="44"/>
      <c r="H72" s="44"/>
      <c r="I72" s="872" t="str">
        <f t="shared" si="13"/>
        <v xml:space="preserve"> </v>
      </c>
      <c r="J72" s="1465"/>
      <c r="K72" s="888">
        <f>SUM(L72:Q72)</f>
        <v>0</v>
      </c>
      <c r="L72" s="874"/>
      <c r="M72" s="889"/>
      <c r="N72" s="889"/>
      <c r="O72" s="889"/>
      <c r="P72" s="889"/>
      <c r="Q72" s="889"/>
      <c r="R72" s="461"/>
      <c r="S72" s="882">
        <f>SUM(T72:U72)</f>
        <v>0</v>
      </c>
      <c r="T72" s="874"/>
      <c r="U72" s="883"/>
      <c r="V72" s="405"/>
    </row>
    <row r="73" spans="2:22" x14ac:dyDescent="0.25">
      <c r="B73" s="450"/>
      <c r="C73" s="45"/>
      <c r="D73" s="44" t="s">
        <v>197</v>
      </c>
      <c r="E73" s="44"/>
      <c r="F73" s="44"/>
      <c r="G73" s="44"/>
      <c r="H73" s="44"/>
      <c r="I73" s="872" t="str">
        <f t="shared" si="13"/>
        <v xml:space="preserve"> </v>
      </c>
      <c r="J73" s="1465"/>
      <c r="K73" s="888">
        <f>SUM(L73:Q73)</f>
        <v>0</v>
      </c>
      <c r="L73" s="874"/>
      <c r="M73" s="889"/>
      <c r="N73" s="889"/>
      <c r="O73" s="889"/>
      <c r="P73" s="889"/>
      <c r="Q73" s="889"/>
      <c r="R73" s="461"/>
      <c r="S73" s="882">
        <f>SUM(T73:U73)</f>
        <v>0</v>
      </c>
      <c r="T73" s="874"/>
      <c r="U73" s="883"/>
      <c r="V73" s="405"/>
    </row>
    <row r="74" spans="2:22" x14ac:dyDescent="0.25">
      <c r="B74" s="450"/>
      <c r="C74" s="45"/>
      <c r="D74" s="44" t="s">
        <v>198</v>
      </c>
      <c r="E74" s="44"/>
      <c r="F74" s="44"/>
      <c r="G74" s="44"/>
      <c r="H74" s="44"/>
      <c r="I74" s="872" t="str">
        <f t="shared" si="13"/>
        <v xml:space="preserve"> </v>
      </c>
      <c r="J74" s="1465"/>
      <c r="K74" s="888">
        <f>SUM(L74:Q74)</f>
        <v>0</v>
      </c>
      <c r="L74" s="874"/>
      <c r="M74" s="889"/>
      <c r="N74" s="889"/>
      <c r="O74" s="889"/>
      <c r="P74" s="889"/>
      <c r="Q74" s="889"/>
      <c r="R74" s="461"/>
      <c r="S74" s="882">
        <f>SUM(T74:U74)</f>
        <v>0</v>
      </c>
      <c r="T74" s="874"/>
      <c r="U74" s="883"/>
      <c r="V74" s="405"/>
    </row>
    <row r="75" spans="2:22" x14ac:dyDescent="0.25">
      <c r="B75" s="450"/>
      <c r="C75" s="45"/>
      <c r="D75" s="44" t="s">
        <v>199</v>
      </c>
      <c r="E75" s="44"/>
      <c r="F75" s="44"/>
      <c r="G75" s="44"/>
      <c r="H75" s="44"/>
      <c r="I75" s="876" t="str">
        <f t="shared" si="13"/>
        <v xml:space="preserve"> </v>
      </c>
      <c r="J75" s="1466"/>
      <c r="K75" s="900">
        <f>SUM(L75:Q75)</f>
        <v>0</v>
      </c>
      <c r="L75" s="891"/>
      <c r="M75" s="892"/>
      <c r="N75" s="892"/>
      <c r="O75" s="892"/>
      <c r="P75" s="892"/>
      <c r="Q75" s="892"/>
      <c r="R75" s="461"/>
      <c r="S75" s="894">
        <f>SUM(T75:U75)</f>
        <v>0</v>
      </c>
      <c r="T75" s="891"/>
      <c r="U75" s="895"/>
      <c r="V75" s="405"/>
    </row>
    <row r="76" spans="2:22" ht="15.75" thickBot="1" x14ac:dyDescent="0.3">
      <c r="B76" s="450"/>
      <c r="C76" s="45"/>
      <c r="D76" s="44"/>
      <c r="E76" s="44"/>
      <c r="F76" s="44"/>
      <c r="G76" s="48" t="s">
        <v>161</v>
      </c>
      <c r="H76" s="48"/>
      <c r="I76" s="351" t="str">
        <f t="shared" si="13"/>
        <v xml:space="preserve"> </v>
      </c>
      <c r="J76" s="36">
        <f t="shared" ref="J76:Q76" si="14">SUM(J71:J75)</f>
        <v>0</v>
      </c>
      <c r="K76" s="22">
        <f t="shared" si="14"/>
        <v>0</v>
      </c>
      <c r="L76" s="1527">
        <f t="shared" si="14"/>
        <v>0</v>
      </c>
      <c r="M76" s="1528">
        <f t="shared" si="14"/>
        <v>0</v>
      </c>
      <c r="N76" s="1528">
        <f t="shared" si="14"/>
        <v>0</v>
      </c>
      <c r="O76" s="1528">
        <f t="shared" si="14"/>
        <v>0</v>
      </c>
      <c r="P76" s="1528">
        <f t="shared" si="14"/>
        <v>0</v>
      </c>
      <c r="Q76" s="1528">
        <f t="shared" si="14"/>
        <v>0</v>
      </c>
      <c r="R76" s="462"/>
      <c r="S76" s="463">
        <f>SUM(S71:S75)</f>
        <v>0</v>
      </c>
      <c r="T76" s="1527">
        <f>SUM(T71:T75)</f>
        <v>0</v>
      </c>
      <c r="U76" s="1529">
        <f>SUM(U71:U75)</f>
        <v>0</v>
      </c>
      <c r="V76" s="405"/>
    </row>
    <row r="77" spans="2:22" ht="9" customHeight="1" thickBot="1" x14ac:dyDescent="0.3">
      <c r="B77" s="465"/>
      <c r="C77" s="28"/>
      <c r="D77" s="31"/>
      <c r="E77" s="31"/>
      <c r="F77" s="31"/>
      <c r="G77" s="31"/>
      <c r="H77" s="31"/>
      <c r="I77" s="412"/>
      <c r="J77" s="466"/>
      <c r="K77" s="467"/>
      <c r="L77" s="29"/>
      <c r="M77" s="29"/>
      <c r="N77" s="29"/>
      <c r="O77" s="29"/>
      <c r="P77" s="467"/>
      <c r="Q77" s="29"/>
      <c r="R77" s="469"/>
      <c r="S77" s="29"/>
      <c r="T77" s="29"/>
      <c r="U77" s="29"/>
      <c r="V77" s="413"/>
    </row>
    <row r="78" spans="2:22" ht="15.75" thickBot="1" x14ac:dyDescent="0.3">
      <c r="B78" s="450"/>
      <c r="C78" s="78" t="s">
        <v>200</v>
      </c>
      <c r="D78" s="78"/>
      <c r="E78" s="78"/>
      <c r="F78" s="78"/>
      <c r="G78" s="78"/>
      <c r="H78" s="47"/>
      <c r="I78" s="47"/>
      <c r="J78" s="47"/>
      <c r="K78" s="47"/>
      <c r="L78" s="16"/>
      <c r="M78" s="16"/>
      <c r="N78" s="16"/>
      <c r="O78" s="16"/>
      <c r="P78" s="45"/>
      <c r="Q78" s="16"/>
      <c r="R78" s="461"/>
      <c r="S78" s="16"/>
      <c r="T78" s="16"/>
      <c r="U78" s="16"/>
      <c r="V78" s="405"/>
    </row>
    <row r="79" spans="2:22" x14ac:dyDescent="0.25">
      <c r="B79" s="450"/>
      <c r="C79" s="45"/>
      <c r="D79" s="154" t="s">
        <v>201</v>
      </c>
      <c r="E79" s="154"/>
      <c r="F79" s="154"/>
      <c r="G79" s="154"/>
      <c r="H79" s="154"/>
      <c r="I79" s="868" t="str">
        <f t="shared" ref="I79:I87" si="15">IFERROR(J79/J$120," ")</f>
        <v xml:space="preserve"> </v>
      </c>
      <c r="J79" s="1467"/>
      <c r="K79" s="886">
        <f t="shared" ref="K79:K86" si="16">SUM(L79:Q79)</f>
        <v>0</v>
      </c>
      <c r="L79" s="870"/>
      <c r="M79" s="887"/>
      <c r="N79" s="887"/>
      <c r="O79" s="887"/>
      <c r="P79" s="887"/>
      <c r="Q79" s="887"/>
      <c r="R79" s="460"/>
      <c r="S79" s="893">
        <f t="shared" ref="S79:S86" si="17">SUM(T79:U79)</f>
        <v>0</v>
      </c>
      <c r="T79" s="870"/>
      <c r="U79" s="881"/>
      <c r="V79" s="405"/>
    </row>
    <row r="80" spans="2:22" x14ac:dyDescent="0.25">
      <c r="B80" s="450"/>
      <c r="C80" s="45"/>
      <c r="D80" s="44" t="s">
        <v>202</v>
      </c>
      <c r="E80" s="44"/>
      <c r="F80" s="44"/>
      <c r="G80" s="44"/>
      <c r="H80" s="44"/>
      <c r="I80" s="872" t="str">
        <f t="shared" si="15"/>
        <v xml:space="preserve"> </v>
      </c>
      <c r="J80" s="1465"/>
      <c r="K80" s="888">
        <f t="shared" si="16"/>
        <v>0</v>
      </c>
      <c r="L80" s="874"/>
      <c r="M80" s="889"/>
      <c r="N80" s="889"/>
      <c r="O80" s="889"/>
      <c r="P80" s="889"/>
      <c r="Q80" s="889"/>
      <c r="R80" s="461"/>
      <c r="S80" s="882">
        <f t="shared" si="17"/>
        <v>0</v>
      </c>
      <c r="T80" s="874"/>
      <c r="U80" s="883"/>
      <c r="V80" s="405"/>
    </row>
    <row r="81" spans="2:22" x14ac:dyDescent="0.25">
      <c r="B81" s="450"/>
      <c r="C81" s="45"/>
      <c r="D81" s="44" t="s">
        <v>203</v>
      </c>
      <c r="E81" s="44"/>
      <c r="F81" s="44"/>
      <c r="G81" s="44"/>
      <c r="H81" s="44"/>
      <c r="I81" s="872" t="str">
        <f t="shared" si="15"/>
        <v xml:space="preserve"> </v>
      </c>
      <c r="J81" s="1465"/>
      <c r="K81" s="888">
        <f t="shared" si="16"/>
        <v>0</v>
      </c>
      <c r="L81" s="874"/>
      <c r="M81" s="889"/>
      <c r="N81" s="889"/>
      <c r="O81" s="889"/>
      <c r="P81" s="889"/>
      <c r="Q81" s="889"/>
      <c r="R81" s="461"/>
      <c r="S81" s="882">
        <f t="shared" si="17"/>
        <v>0</v>
      </c>
      <c r="T81" s="874"/>
      <c r="U81" s="883"/>
      <c r="V81" s="405"/>
    </row>
    <row r="82" spans="2:22" x14ac:dyDescent="0.25">
      <c r="B82" s="450"/>
      <c r="C82" s="45"/>
      <c r="D82" s="49" t="s">
        <v>204</v>
      </c>
      <c r="E82" s="49"/>
      <c r="F82" s="49"/>
      <c r="G82" s="49"/>
      <c r="H82" s="49"/>
      <c r="I82" s="872" t="str">
        <f t="shared" si="15"/>
        <v xml:space="preserve"> </v>
      </c>
      <c r="J82" s="1465"/>
      <c r="K82" s="888">
        <f t="shared" si="16"/>
        <v>0</v>
      </c>
      <c r="L82" s="874"/>
      <c r="M82" s="889"/>
      <c r="N82" s="889"/>
      <c r="O82" s="889"/>
      <c r="P82" s="889"/>
      <c r="Q82" s="889"/>
      <c r="R82" s="461"/>
      <c r="S82" s="882">
        <f t="shared" si="17"/>
        <v>0</v>
      </c>
      <c r="T82" s="874"/>
      <c r="U82" s="883"/>
      <c r="V82" s="405"/>
    </row>
    <row r="83" spans="2:22" x14ac:dyDescent="0.25">
      <c r="B83" s="450"/>
      <c r="C83" s="45"/>
      <c r="D83" s="49" t="s">
        <v>205</v>
      </c>
      <c r="E83" s="49"/>
      <c r="F83" s="49"/>
      <c r="G83" s="49"/>
      <c r="H83" s="49"/>
      <c r="I83" s="872" t="str">
        <f t="shared" si="15"/>
        <v xml:space="preserve"> </v>
      </c>
      <c r="J83" s="1465"/>
      <c r="K83" s="888">
        <f t="shared" si="16"/>
        <v>0</v>
      </c>
      <c r="L83" s="874"/>
      <c r="M83" s="889"/>
      <c r="N83" s="889"/>
      <c r="O83" s="889"/>
      <c r="P83" s="889"/>
      <c r="Q83" s="889"/>
      <c r="R83" s="461"/>
      <c r="S83" s="882">
        <f t="shared" si="17"/>
        <v>0</v>
      </c>
      <c r="T83" s="874"/>
      <c r="U83" s="883"/>
      <c r="V83" s="405"/>
    </row>
    <row r="84" spans="2:22" x14ac:dyDescent="0.25">
      <c r="B84" s="450"/>
      <c r="C84" s="45"/>
      <c r="D84" s="49" t="s">
        <v>206</v>
      </c>
      <c r="E84" s="49"/>
      <c r="F84" s="49"/>
      <c r="G84" s="49"/>
      <c r="H84" s="49"/>
      <c r="I84" s="872" t="str">
        <f t="shared" si="15"/>
        <v xml:space="preserve"> </v>
      </c>
      <c r="J84" s="1465"/>
      <c r="K84" s="888">
        <f t="shared" si="16"/>
        <v>0</v>
      </c>
      <c r="L84" s="874"/>
      <c r="M84" s="889"/>
      <c r="N84" s="889"/>
      <c r="O84" s="889"/>
      <c r="P84" s="889"/>
      <c r="Q84" s="889"/>
      <c r="R84" s="461"/>
      <c r="S84" s="882">
        <f t="shared" si="17"/>
        <v>0</v>
      </c>
      <c r="T84" s="874"/>
      <c r="U84" s="883"/>
      <c r="V84" s="405"/>
    </row>
    <row r="85" spans="2:22" x14ac:dyDescent="0.25">
      <c r="B85" s="450"/>
      <c r="C85" s="45"/>
      <c r="D85" s="50" t="s">
        <v>207</v>
      </c>
      <c r="E85" s="50"/>
      <c r="F85" s="50"/>
      <c r="G85" s="50"/>
      <c r="H85" s="50"/>
      <c r="I85" s="872" t="str">
        <f t="shared" si="15"/>
        <v xml:space="preserve"> </v>
      </c>
      <c r="J85" s="1465"/>
      <c r="K85" s="888">
        <f t="shared" si="16"/>
        <v>0</v>
      </c>
      <c r="L85" s="874"/>
      <c r="M85" s="889"/>
      <c r="N85" s="889"/>
      <c r="O85" s="889"/>
      <c r="P85" s="889"/>
      <c r="Q85" s="889"/>
      <c r="R85" s="461"/>
      <c r="S85" s="882">
        <f t="shared" si="17"/>
        <v>0</v>
      </c>
      <c r="T85" s="874"/>
      <c r="U85" s="883"/>
      <c r="V85" s="405"/>
    </row>
    <row r="86" spans="2:22" x14ac:dyDescent="0.25">
      <c r="B86" s="450"/>
      <c r="C86" s="45"/>
      <c r="D86" s="49" t="s">
        <v>428</v>
      </c>
      <c r="E86" s="2441"/>
      <c r="F86" s="2442"/>
      <c r="G86" s="2443"/>
      <c r="H86" s="49"/>
      <c r="I86" s="876" t="str">
        <f t="shared" si="15"/>
        <v xml:space="preserve"> </v>
      </c>
      <c r="J86" s="1466"/>
      <c r="K86" s="900">
        <f t="shared" si="16"/>
        <v>0</v>
      </c>
      <c r="L86" s="891"/>
      <c r="M86" s="892"/>
      <c r="N86" s="892"/>
      <c r="O86" s="892"/>
      <c r="P86" s="892"/>
      <c r="Q86" s="892"/>
      <c r="R86" s="461"/>
      <c r="S86" s="894">
        <f t="shared" si="17"/>
        <v>0</v>
      </c>
      <c r="T86" s="891"/>
      <c r="U86" s="895"/>
      <c r="V86" s="405"/>
    </row>
    <row r="87" spans="2:22" ht="15.75" thickBot="1" x14ac:dyDescent="0.3">
      <c r="B87" s="450"/>
      <c r="C87" s="45"/>
      <c r="D87" s="44"/>
      <c r="E87" s="44"/>
      <c r="F87" s="44"/>
      <c r="G87" s="48" t="s">
        <v>161</v>
      </c>
      <c r="H87" s="48"/>
      <c r="I87" s="351" t="str">
        <f t="shared" si="15"/>
        <v xml:space="preserve"> </v>
      </c>
      <c r="J87" s="36">
        <f t="shared" ref="J87:Q87" si="18">SUM(J79:J86)</f>
        <v>0</v>
      </c>
      <c r="K87" s="22">
        <f t="shared" si="18"/>
        <v>0</v>
      </c>
      <c r="L87" s="1527">
        <f t="shared" si="18"/>
        <v>0</v>
      </c>
      <c r="M87" s="1528">
        <f t="shared" si="18"/>
        <v>0</v>
      </c>
      <c r="N87" s="1528">
        <f t="shared" si="18"/>
        <v>0</v>
      </c>
      <c r="O87" s="1528">
        <f t="shared" si="18"/>
        <v>0</v>
      </c>
      <c r="P87" s="1528">
        <f t="shared" si="18"/>
        <v>0</v>
      </c>
      <c r="Q87" s="1528">
        <f t="shared" si="18"/>
        <v>0</v>
      </c>
      <c r="R87" s="462"/>
      <c r="S87" s="463">
        <f>SUM(S79:S86)</f>
        <v>0</v>
      </c>
      <c r="T87" s="1527">
        <f>SUM(T79:T86)</f>
        <v>0</v>
      </c>
      <c r="U87" s="1529">
        <f>SUM(U79:U86)</f>
        <v>0</v>
      </c>
      <c r="V87" s="405"/>
    </row>
    <row r="88" spans="2:22" ht="3.75" customHeight="1" x14ac:dyDescent="0.25">
      <c r="B88" s="450"/>
      <c r="C88" s="44"/>
      <c r="D88" s="44"/>
      <c r="E88" s="44"/>
      <c r="F88" s="44"/>
      <c r="G88" s="44"/>
      <c r="H88" s="44"/>
      <c r="I88" s="452"/>
      <c r="J88" s="464"/>
      <c r="K88" s="45"/>
      <c r="L88" s="16"/>
      <c r="M88" s="16"/>
      <c r="N88" s="16"/>
      <c r="O88" s="16"/>
      <c r="P88" s="45"/>
      <c r="Q88" s="16"/>
      <c r="R88" s="461"/>
      <c r="S88" s="16"/>
      <c r="T88" s="16"/>
      <c r="U88" s="16"/>
      <c r="V88" s="405"/>
    </row>
    <row r="89" spans="2:22" ht="15.75" thickBot="1" x14ac:dyDescent="0.3">
      <c r="B89" s="450"/>
      <c r="C89" s="78" t="s">
        <v>208</v>
      </c>
      <c r="D89" s="78"/>
      <c r="E89" s="78"/>
      <c r="F89" s="78"/>
      <c r="G89" s="78"/>
      <c r="H89" s="47"/>
      <c r="I89" s="47"/>
      <c r="J89" s="47"/>
      <c r="K89" s="47"/>
      <c r="L89" s="474"/>
      <c r="M89" s="19"/>
      <c r="N89" s="19"/>
      <c r="O89" s="19"/>
      <c r="P89" s="45"/>
      <c r="Q89" s="19"/>
      <c r="R89" s="461"/>
      <c r="S89" s="19"/>
      <c r="T89" s="19"/>
      <c r="U89" s="19"/>
      <c r="V89" s="405"/>
    </row>
    <row r="90" spans="2:22" x14ac:dyDescent="0.25">
      <c r="B90" s="450"/>
      <c r="C90" s="45"/>
      <c r="D90" s="155" t="s">
        <v>209</v>
      </c>
      <c r="E90" s="155"/>
      <c r="F90" s="155"/>
      <c r="G90" s="155"/>
      <c r="H90" s="155"/>
      <c r="I90" s="868" t="str">
        <f>IFERROR(J90/J$120," ")</f>
        <v xml:space="preserve"> </v>
      </c>
      <c r="J90" s="1467"/>
      <c r="K90" s="886">
        <f>SUM(L90:Q90)</f>
        <v>0</v>
      </c>
      <c r="L90" s="870"/>
      <c r="M90" s="887"/>
      <c r="N90" s="887"/>
      <c r="O90" s="887"/>
      <c r="P90" s="887"/>
      <c r="Q90" s="887"/>
      <c r="R90" s="460"/>
      <c r="S90" s="893">
        <f>SUM(T90:U90)</f>
        <v>0</v>
      </c>
      <c r="T90" s="870"/>
      <c r="U90" s="881"/>
      <c r="V90" s="405"/>
    </row>
    <row r="91" spans="2:22" x14ac:dyDescent="0.25">
      <c r="B91" s="450"/>
      <c r="C91" s="45"/>
      <c r="D91" s="50" t="s">
        <v>210</v>
      </c>
      <c r="E91" s="50"/>
      <c r="F91" s="50"/>
      <c r="G91" s="50"/>
      <c r="H91" s="50"/>
      <c r="I91" s="872" t="str">
        <f>IFERROR(J91/J$120," ")</f>
        <v xml:space="preserve"> </v>
      </c>
      <c r="J91" s="1465"/>
      <c r="K91" s="888">
        <f>SUM(L91:Q91)</f>
        <v>0</v>
      </c>
      <c r="L91" s="874"/>
      <c r="M91" s="889"/>
      <c r="N91" s="889"/>
      <c r="O91" s="889"/>
      <c r="P91" s="889"/>
      <c r="Q91" s="889"/>
      <c r="R91" s="461"/>
      <c r="S91" s="882">
        <f>SUM(T91:U91)</f>
        <v>0</v>
      </c>
      <c r="T91" s="874"/>
      <c r="U91" s="883"/>
      <c r="V91" s="405"/>
    </row>
    <row r="92" spans="2:22" x14ac:dyDescent="0.25">
      <c r="B92" s="450"/>
      <c r="C92" s="45"/>
      <c r="D92" s="49" t="s">
        <v>428</v>
      </c>
      <c r="E92" s="2441"/>
      <c r="F92" s="2442"/>
      <c r="G92" s="2443"/>
      <c r="H92" s="49"/>
      <c r="I92" s="876" t="str">
        <f>IFERROR(J92/J$120," ")</f>
        <v xml:space="preserve"> </v>
      </c>
      <c r="J92" s="1466"/>
      <c r="K92" s="900">
        <f>SUM(L92:Q92)</f>
        <v>0</v>
      </c>
      <c r="L92" s="891"/>
      <c r="M92" s="892"/>
      <c r="N92" s="892"/>
      <c r="O92" s="892"/>
      <c r="P92" s="892"/>
      <c r="Q92" s="892"/>
      <c r="R92" s="461"/>
      <c r="S92" s="894">
        <f>SUM(T92:U92)</f>
        <v>0</v>
      </c>
      <c r="T92" s="891"/>
      <c r="U92" s="895"/>
      <c r="V92" s="405"/>
    </row>
    <row r="93" spans="2:22" ht="15.75" thickBot="1" x14ac:dyDescent="0.3">
      <c r="B93" s="450"/>
      <c r="C93" s="45"/>
      <c r="D93" s="44"/>
      <c r="E93" s="44"/>
      <c r="F93" s="44"/>
      <c r="G93" s="48" t="s">
        <v>161</v>
      </c>
      <c r="H93" s="48"/>
      <c r="I93" s="351" t="str">
        <f>IFERROR(J93/J$120," ")</f>
        <v xml:space="preserve"> </v>
      </c>
      <c r="J93" s="36">
        <f t="shared" ref="J93:Q93" si="19">SUM(J90:J92)</f>
        <v>0</v>
      </c>
      <c r="K93" s="22">
        <f t="shared" si="19"/>
        <v>0</v>
      </c>
      <c r="L93" s="1527">
        <f t="shared" si="19"/>
        <v>0</v>
      </c>
      <c r="M93" s="1528">
        <f t="shared" si="19"/>
        <v>0</v>
      </c>
      <c r="N93" s="1528">
        <f t="shared" si="19"/>
        <v>0</v>
      </c>
      <c r="O93" s="1528">
        <f t="shared" si="19"/>
        <v>0</v>
      </c>
      <c r="P93" s="1528">
        <f t="shared" si="19"/>
        <v>0</v>
      </c>
      <c r="Q93" s="1528">
        <f t="shared" si="19"/>
        <v>0</v>
      </c>
      <c r="R93" s="462"/>
      <c r="S93" s="463">
        <f>SUM(S90:S92)</f>
        <v>0</v>
      </c>
      <c r="T93" s="1527">
        <f>SUM(T90:T92)</f>
        <v>0</v>
      </c>
      <c r="U93" s="1529">
        <f>SUM(U90:U92)</f>
        <v>0</v>
      </c>
      <c r="V93" s="405"/>
    </row>
    <row r="94" spans="2:22" ht="3.75" customHeight="1" x14ac:dyDescent="0.25">
      <c r="B94" s="450"/>
      <c r="C94" s="44"/>
      <c r="D94" s="44"/>
      <c r="E94" s="44"/>
      <c r="F94" s="44"/>
      <c r="G94" s="44"/>
      <c r="H94" s="44"/>
      <c r="I94" s="452"/>
      <c r="J94" s="464"/>
      <c r="K94" s="45"/>
      <c r="L94" s="76"/>
      <c r="M94" s="76"/>
      <c r="N94" s="76"/>
      <c r="O94" s="76"/>
      <c r="P94" s="45"/>
      <c r="Q94" s="76"/>
      <c r="R94" s="461"/>
      <c r="S94" s="76"/>
      <c r="T94" s="76"/>
      <c r="U94" s="76"/>
      <c r="V94" s="405"/>
    </row>
    <row r="95" spans="2:22" ht="15.75" thickBot="1" x14ac:dyDescent="0.3">
      <c r="B95" s="450"/>
      <c r="C95" s="78" t="s">
        <v>211</v>
      </c>
      <c r="D95" s="78"/>
      <c r="E95" s="78"/>
      <c r="F95" s="78"/>
      <c r="G95" s="78"/>
      <c r="H95" s="47"/>
      <c r="I95" s="47"/>
      <c r="J95" s="47"/>
      <c r="K95" s="47"/>
      <c r="L95" s="19"/>
      <c r="M95" s="19"/>
      <c r="N95" s="19"/>
      <c r="O95" s="19"/>
      <c r="P95" s="45"/>
      <c r="Q95" s="19"/>
      <c r="R95" s="461"/>
      <c r="S95" s="19"/>
      <c r="T95" s="19"/>
      <c r="U95" s="19"/>
      <c r="V95" s="405"/>
    </row>
    <row r="96" spans="2:22" x14ac:dyDescent="0.25">
      <c r="B96" s="450"/>
      <c r="C96" s="45"/>
      <c r="D96" s="155" t="s">
        <v>212</v>
      </c>
      <c r="E96" s="155"/>
      <c r="F96" s="155"/>
      <c r="G96" s="155"/>
      <c r="H96" s="155"/>
      <c r="I96" s="868" t="str">
        <f t="shared" ref="I96:I107" si="20">IFERROR(J96/J$120," ")</f>
        <v xml:space="preserve"> </v>
      </c>
      <c r="J96" s="1467"/>
      <c r="K96" s="886">
        <f t="shared" ref="K96:K106" si="21">SUM(L96:Q96)</f>
        <v>0</v>
      </c>
      <c r="L96" s="870"/>
      <c r="M96" s="887"/>
      <c r="N96" s="887"/>
      <c r="O96" s="887"/>
      <c r="P96" s="887"/>
      <c r="Q96" s="887"/>
      <c r="R96" s="460"/>
      <c r="S96" s="893">
        <f t="shared" ref="S96:S106" si="22">SUM(T96:U96)</f>
        <v>0</v>
      </c>
      <c r="T96" s="870"/>
      <c r="U96" s="881"/>
      <c r="V96" s="405"/>
    </row>
    <row r="97" spans="2:22" x14ac:dyDescent="0.25">
      <c r="B97" s="450"/>
      <c r="C97" s="45"/>
      <c r="D97" s="50" t="s">
        <v>213</v>
      </c>
      <c r="E97" s="50"/>
      <c r="F97" s="50"/>
      <c r="G97" s="50"/>
      <c r="H97" s="50"/>
      <c r="I97" s="872" t="str">
        <f t="shared" si="20"/>
        <v xml:space="preserve"> </v>
      </c>
      <c r="J97" s="1465"/>
      <c r="K97" s="888">
        <f t="shared" si="21"/>
        <v>0</v>
      </c>
      <c r="L97" s="874"/>
      <c r="M97" s="889"/>
      <c r="N97" s="889"/>
      <c r="O97" s="889"/>
      <c r="P97" s="889"/>
      <c r="Q97" s="889"/>
      <c r="R97" s="461"/>
      <c r="S97" s="882">
        <f t="shared" si="22"/>
        <v>0</v>
      </c>
      <c r="T97" s="874"/>
      <c r="U97" s="883"/>
      <c r="V97" s="405"/>
    </row>
    <row r="98" spans="2:22" x14ac:dyDescent="0.25">
      <c r="B98" s="450"/>
      <c r="C98" s="45"/>
      <c r="D98" s="50" t="s">
        <v>1781</v>
      </c>
      <c r="E98" s="50"/>
      <c r="F98" s="50"/>
      <c r="G98" s="50"/>
      <c r="H98" s="50"/>
      <c r="I98" s="872" t="str">
        <f t="shared" si="20"/>
        <v xml:space="preserve"> </v>
      </c>
      <c r="J98" s="2157">
        <f>'4'!F25</f>
        <v>0</v>
      </c>
      <c r="K98" s="888">
        <f t="shared" si="21"/>
        <v>0</v>
      </c>
      <c r="L98" s="874"/>
      <c r="M98" s="889"/>
      <c r="N98" s="889"/>
      <c r="O98" s="889"/>
      <c r="P98" s="889"/>
      <c r="Q98" s="889"/>
      <c r="R98" s="461"/>
      <c r="S98" s="882">
        <f t="shared" si="22"/>
        <v>0</v>
      </c>
      <c r="T98" s="874"/>
      <c r="U98" s="883"/>
      <c r="V98" s="405"/>
    </row>
    <row r="99" spans="2:22" x14ac:dyDescent="0.25">
      <c r="B99" s="450"/>
      <c r="C99" s="45"/>
      <c r="D99" s="50" t="s">
        <v>214</v>
      </c>
      <c r="E99" s="50"/>
      <c r="F99" s="50"/>
      <c r="G99" s="50"/>
      <c r="H99" s="50"/>
      <c r="I99" s="872" t="str">
        <f t="shared" si="20"/>
        <v xml:space="preserve"> </v>
      </c>
      <c r="J99" s="1465"/>
      <c r="K99" s="888">
        <f t="shared" si="21"/>
        <v>0</v>
      </c>
      <c r="L99" s="874"/>
      <c r="M99" s="889"/>
      <c r="N99" s="889"/>
      <c r="O99" s="889"/>
      <c r="P99" s="889"/>
      <c r="Q99" s="889"/>
      <c r="R99" s="461"/>
      <c r="S99" s="882">
        <f t="shared" si="22"/>
        <v>0</v>
      </c>
      <c r="T99" s="874"/>
      <c r="U99" s="883"/>
      <c r="V99" s="405"/>
    </row>
    <row r="100" spans="2:22" x14ac:dyDescent="0.25">
      <c r="B100" s="450"/>
      <c r="C100" s="45"/>
      <c r="D100" s="50" t="s">
        <v>215</v>
      </c>
      <c r="E100" s="50"/>
      <c r="F100" s="50"/>
      <c r="G100" s="352" t="str">
        <f>IF(AND(J100&lt;&gt;0,'6E'!H58=0),"Complete Form 6E","")</f>
        <v/>
      </c>
      <c r="H100" s="50"/>
      <c r="I100" s="872" t="str">
        <f t="shared" si="20"/>
        <v xml:space="preserve"> </v>
      </c>
      <c r="J100" s="1465"/>
      <c r="K100" s="888">
        <f t="shared" si="21"/>
        <v>0</v>
      </c>
      <c r="L100" s="874"/>
      <c r="M100" s="889"/>
      <c r="N100" s="889"/>
      <c r="O100" s="889"/>
      <c r="P100" s="889"/>
      <c r="Q100" s="889"/>
      <c r="R100" s="461"/>
      <c r="S100" s="882">
        <f t="shared" si="22"/>
        <v>0</v>
      </c>
      <c r="T100" s="874"/>
      <c r="U100" s="883"/>
      <c r="V100" s="405"/>
    </row>
    <row r="101" spans="2:22" x14ac:dyDescent="0.25">
      <c r="B101" s="450"/>
      <c r="C101" s="45"/>
      <c r="D101" s="49" t="s">
        <v>216</v>
      </c>
      <c r="E101" s="49"/>
      <c r="F101" s="49"/>
      <c r="G101" s="352" t="str">
        <f>IF(AND(J101&lt;&gt;0,'6E'!H58=0),"Complete Form 6E","")</f>
        <v/>
      </c>
      <c r="H101" s="49"/>
      <c r="I101" s="872" t="str">
        <f t="shared" si="20"/>
        <v xml:space="preserve"> </v>
      </c>
      <c r="J101" s="1465"/>
      <c r="K101" s="888">
        <f t="shared" si="21"/>
        <v>0</v>
      </c>
      <c r="L101" s="874"/>
      <c r="M101" s="889"/>
      <c r="N101" s="889"/>
      <c r="O101" s="889"/>
      <c r="P101" s="889"/>
      <c r="Q101" s="889"/>
      <c r="R101" s="461"/>
      <c r="S101" s="882">
        <f t="shared" si="22"/>
        <v>0</v>
      </c>
      <c r="T101" s="874"/>
      <c r="U101" s="883"/>
      <c r="V101" s="405"/>
    </row>
    <row r="102" spans="2:22" x14ac:dyDescent="0.25">
      <c r="B102" s="450"/>
      <c r="C102" s="45"/>
      <c r="D102" s="49" t="s">
        <v>217</v>
      </c>
      <c r="E102" s="49"/>
      <c r="F102" s="49"/>
      <c r="G102" s="49"/>
      <c r="H102" s="49"/>
      <c r="I102" s="872" t="str">
        <f t="shared" si="20"/>
        <v xml:space="preserve"> </v>
      </c>
      <c r="J102" s="1465"/>
      <c r="K102" s="888">
        <f t="shared" si="21"/>
        <v>0</v>
      </c>
      <c r="L102" s="874"/>
      <c r="M102" s="889"/>
      <c r="N102" s="889"/>
      <c r="O102" s="889"/>
      <c r="P102" s="889"/>
      <c r="Q102" s="889"/>
      <c r="R102" s="461"/>
      <c r="S102" s="882">
        <f t="shared" si="22"/>
        <v>0</v>
      </c>
      <c r="T102" s="874"/>
      <c r="U102" s="883"/>
      <c r="V102" s="405"/>
    </row>
    <row r="103" spans="2:22" x14ac:dyDescent="0.25">
      <c r="B103" s="450"/>
      <c r="C103" s="45"/>
      <c r="D103" s="49" t="s">
        <v>218</v>
      </c>
      <c r="E103" s="49"/>
      <c r="F103" s="49"/>
      <c r="G103" s="49"/>
      <c r="H103" s="49"/>
      <c r="I103" s="872" t="str">
        <f t="shared" si="20"/>
        <v xml:space="preserve"> </v>
      </c>
      <c r="J103" s="1465"/>
      <c r="K103" s="888">
        <f t="shared" si="21"/>
        <v>0</v>
      </c>
      <c r="L103" s="874"/>
      <c r="M103" s="889"/>
      <c r="N103" s="889"/>
      <c r="O103" s="889"/>
      <c r="P103" s="889"/>
      <c r="Q103" s="889"/>
      <c r="R103" s="461"/>
      <c r="S103" s="882">
        <f t="shared" si="22"/>
        <v>0</v>
      </c>
      <c r="T103" s="874"/>
      <c r="U103" s="883"/>
      <c r="V103" s="405"/>
    </row>
    <row r="104" spans="2:22" x14ac:dyDescent="0.25">
      <c r="B104" s="450"/>
      <c r="C104" s="45"/>
      <c r="D104" s="50" t="s">
        <v>219</v>
      </c>
      <c r="E104" s="50"/>
      <c r="F104" s="50"/>
      <c r="G104" s="50"/>
      <c r="H104" s="50"/>
      <c r="I104" s="872" t="str">
        <f t="shared" si="20"/>
        <v xml:space="preserve"> </v>
      </c>
      <c r="J104" s="1465"/>
      <c r="K104" s="888">
        <f t="shared" si="21"/>
        <v>0</v>
      </c>
      <c r="L104" s="874"/>
      <c r="M104" s="889"/>
      <c r="N104" s="889"/>
      <c r="O104" s="889"/>
      <c r="P104" s="889"/>
      <c r="Q104" s="889"/>
      <c r="R104" s="461"/>
      <c r="S104" s="882">
        <f t="shared" si="22"/>
        <v>0</v>
      </c>
      <c r="T104" s="874"/>
      <c r="U104" s="883"/>
      <c r="V104" s="405"/>
    </row>
    <row r="105" spans="2:22" x14ac:dyDescent="0.25">
      <c r="B105" s="450"/>
      <c r="C105" s="45"/>
      <c r="D105" s="49" t="s">
        <v>220</v>
      </c>
      <c r="E105" s="49"/>
      <c r="F105" s="49"/>
      <c r="G105" s="49"/>
      <c r="H105" s="49"/>
      <c r="I105" s="872" t="str">
        <f t="shared" si="20"/>
        <v xml:space="preserve"> </v>
      </c>
      <c r="J105" s="1465"/>
      <c r="K105" s="888">
        <f t="shared" si="21"/>
        <v>0</v>
      </c>
      <c r="L105" s="874"/>
      <c r="M105" s="889"/>
      <c r="N105" s="889"/>
      <c r="O105" s="889"/>
      <c r="P105" s="889"/>
      <c r="Q105" s="889"/>
      <c r="R105" s="461"/>
      <c r="S105" s="882">
        <f t="shared" si="22"/>
        <v>0</v>
      </c>
      <c r="T105" s="874"/>
      <c r="U105" s="883"/>
      <c r="V105" s="405"/>
    </row>
    <row r="106" spans="2:22" x14ac:dyDescent="0.25">
      <c r="B106" s="450"/>
      <c r="C106" s="45"/>
      <c r="D106" s="50" t="s">
        <v>504</v>
      </c>
      <c r="E106" s="50"/>
      <c r="F106" s="50"/>
      <c r="G106" s="50"/>
      <c r="H106" s="50"/>
      <c r="I106" s="876" t="str">
        <f t="shared" si="20"/>
        <v xml:space="preserve"> </v>
      </c>
      <c r="J106" s="1466"/>
      <c r="K106" s="900">
        <f t="shared" si="21"/>
        <v>0</v>
      </c>
      <c r="L106" s="891"/>
      <c r="M106" s="892"/>
      <c r="N106" s="892"/>
      <c r="O106" s="892"/>
      <c r="P106" s="892"/>
      <c r="Q106" s="892"/>
      <c r="R106" s="461"/>
      <c r="S106" s="894">
        <f t="shared" si="22"/>
        <v>0</v>
      </c>
      <c r="T106" s="891"/>
      <c r="U106" s="895"/>
      <c r="V106" s="405"/>
    </row>
    <row r="107" spans="2:22" ht="15.75" thickBot="1" x14ac:dyDescent="0.3">
      <c r="B107" s="450"/>
      <c r="C107" s="45"/>
      <c r="D107" s="44"/>
      <c r="E107" s="44"/>
      <c r="F107" s="44"/>
      <c r="G107" s="48" t="s">
        <v>161</v>
      </c>
      <c r="H107" s="48"/>
      <c r="I107" s="351" t="str">
        <f t="shared" si="20"/>
        <v xml:space="preserve"> </v>
      </c>
      <c r="J107" s="36">
        <f t="shared" ref="J107:Q107" si="23">SUM(J96:J106)</f>
        <v>0</v>
      </c>
      <c r="K107" s="22">
        <f t="shared" si="23"/>
        <v>0</v>
      </c>
      <c r="L107" s="1527">
        <f t="shared" si="23"/>
        <v>0</v>
      </c>
      <c r="M107" s="1528">
        <f t="shared" si="23"/>
        <v>0</v>
      </c>
      <c r="N107" s="1528">
        <f t="shared" si="23"/>
        <v>0</v>
      </c>
      <c r="O107" s="1528">
        <f t="shared" si="23"/>
        <v>0</v>
      </c>
      <c r="P107" s="1528">
        <f t="shared" si="23"/>
        <v>0</v>
      </c>
      <c r="Q107" s="1528">
        <f t="shared" si="23"/>
        <v>0</v>
      </c>
      <c r="R107" s="462"/>
      <c r="S107" s="463">
        <f>SUM(S96:S106)</f>
        <v>0</v>
      </c>
      <c r="T107" s="1527">
        <f>SUM(T96:T106)</f>
        <v>0</v>
      </c>
      <c r="U107" s="1529">
        <f>SUM(U96:U106)</f>
        <v>0</v>
      </c>
      <c r="V107" s="405"/>
    </row>
    <row r="108" spans="2:22" ht="9" customHeight="1" thickBot="1" x14ac:dyDescent="0.3">
      <c r="B108" s="465"/>
      <c r="C108" s="30"/>
      <c r="D108" s="31"/>
      <c r="E108" s="31"/>
      <c r="F108" s="31"/>
      <c r="G108" s="31"/>
      <c r="H108" s="31"/>
      <c r="I108" s="412"/>
      <c r="J108" s="466"/>
      <c r="K108" s="475"/>
      <c r="L108" s="32"/>
      <c r="M108" s="32"/>
      <c r="N108" s="32"/>
      <c r="O108" s="32"/>
      <c r="P108" s="475"/>
      <c r="Q108" s="32"/>
      <c r="R108" s="476"/>
      <c r="S108" s="32"/>
      <c r="T108" s="32"/>
      <c r="U108" s="32"/>
      <c r="V108" s="413"/>
    </row>
    <row r="109" spans="2:22" ht="3.75" customHeight="1" x14ac:dyDescent="0.25">
      <c r="B109" s="450"/>
      <c r="C109" s="47"/>
      <c r="D109" s="48"/>
      <c r="E109" s="48"/>
      <c r="F109" s="48"/>
      <c r="G109" s="48"/>
      <c r="H109" s="48"/>
      <c r="I109" s="452"/>
      <c r="J109" s="452"/>
      <c r="K109" s="45"/>
      <c r="L109" s="16"/>
      <c r="M109" s="16"/>
      <c r="N109" s="16"/>
      <c r="O109" s="16"/>
      <c r="P109" s="45"/>
      <c r="Q109" s="16"/>
      <c r="R109" s="461"/>
      <c r="S109" s="16"/>
      <c r="T109" s="16"/>
      <c r="U109" s="16"/>
      <c r="V109" s="405"/>
    </row>
    <row r="110" spans="2:22" ht="15.75" thickBot="1" x14ac:dyDescent="0.3">
      <c r="B110" s="450"/>
      <c r="C110" s="78" t="s">
        <v>222</v>
      </c>
      <c r="D110" s="78"/>
      <c r="E110" s="78"/>
      <c r="F110" s="78"/>
      <c r="G110" s="78"/>
      <c r="H110" s="47"/>
      <c r="I110" s="47"/>
      <c r="J110" s="47"/>
      <c r="K110" s="47"/>
      <c r="L110" s="16"/>
      <c r="M110" s="16"/>
      <c r="N110" s="16"/>
      <c r="O110" s="16"/>
      <c r="P110" s="68"/>
      <c r="Q110" s="16"/>
      <c r="R110" s="461"/>
      <c r="S110" s="16"/>
      <c r="T110" s="16"/>
      <c r="U110" s="16"/>
      <c r="V110" s="405"/>
    </row>
    <row r="111" spans="2:22" x14ac:dyDescent="0.25">
      <c r="B111" s="450"/>
      <c r="C111" s="68"/>
      <c r="D111" s="154" t="s">
        <v>223</v>
      </c>
      <c r="E111" s="154"/>
      <c r="F111" s="154"/>
      <c r="G111" s="154"/>
      <c r="H111" s="154"/>
      <c r="I111" s="868" t="str">
        <f t="shared" ref="I111:I118" si="24">IFERROR(J111/J$120," ")</f>
        <v xml:space="preserve"> </v>
      </c>
      <c r="J111" s="1467"/>
      <c r="K111" s="886">
        <f t="shared" ref="K111:K117" si="25">SUM(L111:Q111)</f>
        <v>0</v>
      </c>
      <c r="L111" s="870"/>
      <c r="M111" s="887"/>
      <c r="N111" s="887"/>
      <c r="O111" s="887"/>
      <c r="P111" s="887"/>
      <c r="Q111" s="887"/>
      <c r="R111" s="460"/>
      <c r="S111" s="893">
        <f t="shared" ref="S111:S117" si="26">SUM(T111:U111)</f>
        <v>0</v>
      </c>
      <c r="T111" s="870"/>
      <c r="U111" s="881"/>
      <c r="V111" s="405"/>
    </row>
    <row r="112" spans="2:22" x14ac:dyDescent="0.25">
      <c r="B112" s="450"/>
      <c r="C112" s="68"/>
      <c r="D112" s="44" t="s">
        <v>224</v>
      </c>
      <c r="E112" s="44"/>
      <c r="F112" s="44"/>
      <c r="G112" s="44"/>
      <c r="H112" s="44"/>
      <c r="I112" s="872" t="str">
        <f t="shared" si="24"/>
        <v xml:space="preserve"> </v>
      </c>
      <c r="J112" s="1465"/>
      <c r="K112" s="901">
        <f t="shared" si="25"/>
        <v>0</v>
      </c>
      <c r="L112" s="874"/>
      <c r="M112" s="889"/>
      <c r="N112" s="889"/>
      <c r="O112" s="889"/>
      <c r="P112" s="889"/>
      <c r="Q112" s="889"/>
      <c r="R112" s="461"/>
      <c r="S112" s="904">
        <f t="shared" si="26"/>
        <v>0</v>
      </c>
      <c r="T112" s="874"/>
      <c r="U112" s="883"/>
      <c r="V112" s="405"/>
    </row>
    <row r="113" spans="2:22" x14ac:dyDescent="0.25">
      <c r="B113" s="450"/>
      <c r="C113" s="45"/>
      <c r="D113" s="44" t="s">
        <v>225</v>
      </c>
      <c r="E113" s="44"/>
      <c r="F113" s="44"/>
      <c r="G113" s="44"/>
      <c r="H113" s="44"/>
      <c r="I113" s="872" t="str">
        <f t="shared" si="24"/>
        <v xml:space="preserve"> </v>
      </c>
      <c r="J113" s="1465"/>
      <c r="K113" s="901">
        <f t="shared" si="25"/>
        <v>0</v>
      </c>
      <c r="L113" s="874"/>
      <c r="M113" s="889"/>
      <c r="N113" s="889"/>
      <c r="O113" s="889"/>
      <c r="P113" s="889"/>
      <c r="Q113" s="889"/>
      <c r="R113" s="461"/>
      <c r="S113" s="904">
        <f t="shared" si="26"/>
        <v>0</v>
      </c>
      <c r="T113" s="874"/>
      <c r="U113" s="883"/>
      <c r="V113" s="405"/>
    </row>
    <row r="114" spans="2:22" x14ac:dyDescent="0.25">
      <c r="B114" s="450"/>
      <c r="C114" s="45"/>
      <c r="D114" s="44" t="s">
        <v>226</v>
      </c>
      <c r="E114" s="44"/>
      <c r="F114" s="44"/>
      <c r="G114" s="44"/>
      <c r="H114" s="44"/>
      <c r="I114" s="872" t="str">
        <f>IFERROR(J114/J$120," ")</f>
        <v xml:space="preserve"> </v>
      </c>
      <c r="J114" s="1465"/>
      <c r="K114" s="901">
        <f t="shared" si="25"/>
        <v>0</v>
      </c>
      <c r="L114" s="874"/>
      <c r="M114" s="889"/>
      <c r="N114" s="889"/>
      <c r="O114" s="889"/>
      <c r="P114" s="889"/>
      <c r="Q114" s="889"/>
      <c r="R114" s="461"/>
      <c r="S114" s="904">
        <f t="shared" si="26"/>
        <v>0</v>
      </c>
      <c r="T114" s="874"/>
      <c r="U114" s="883"/>
      <c r="V114" s="405"/>
    </row>
    <row r="115" spans="2:22" x14ac:dyDescent="0.25">
      <c r="B115" s="450"/>
      <c r="C115" s="45"/>
      <c r="D115" s="44" t="s">
        <v>227</v>
      </c>
      <c r="E115" s="44"/>
      <c r="F115" s="44"/>
      <c r="G115" s="44"/>
      <c r="H115" s="44"/>
      <c r="I115" s="872" t="str">
        <f t="shared" si="24"/>
        <v xml:space="preserve"> </v>
      </c>
      <c r="J115" s="1465"/>
      <c r="K115" s="901">
        <f t="shared" si="25"/>
        <v>0</v>
      </c>
      <c r="L115" s="874"/>
      <c r="M115" s="889"/>
      <c r="N115" s="889"/>
      <c r="O115" s="889"/>
      <c r="P115" s="889"/>
      <c r="Q115" s="889"/>
      <c r="R115" s="461"/>
      <c r="S115" s="904">
        <f t="shared" si="26"/>
        <v>0</v>
      </c>
      <c r="T115" s="874"/>
      <c r="U115" s="883"/>
      <c r="V115" s="405"/>
    </row>
    <row r="116" spans="2:22" x14ac:dyDescent="0.25">
      <c r="B116" s="450"/>
      <c r="C116" s="45"/>
      <c r="D116" s="44" t="s">
        <v>228</v>
      </c>
      <c r="E116" s="44"/>
      <c r="F116" s="44"/>
      <c r="G116" s="44"/>
      <c r="H116" s="44"/>
      <c r="I116" s="872" t="str">
        <f t="shared" si="24"/>
        <v xml:space="preserve"> </v>
      </c>
      <c r="J116" s="1465"/>
      <c r="K116" s="901">
        <f t="shared" si="25"/>
        <v>0</v>
      </c>
      <c r="L116" s="874"/>
      <c r="M116" s="889"/>
      <c r="N116" s="889"/>
      <c r="O116" s="889"/>
      <c r="P116" s="889"/>
      <c r="Q116" s="889"/>
      <c r="R116" s="461"/>
      <c r="S116" s="904">
        <f t="shared" si="26"/>
        <v>0</v>
      </c>
      <c r="T116" s="874"/>
      <c r="U116" s="883"/>
      <c r="V116" s="405"/>
    </row>
    <row r="117" spans="2:22" x14ac:dyDescent="0.25">
      <c r="B117" s="450"/>
      <c r="C117" s="45"/>
      <c r="D117" s="44" t="s">
        <v>229</v>
      </c>
      <c r="E117" s="44"/>
      <c r="F117" s="44"/>
      <c r="G117" s="44"/>
      <c r="H117" s="44"/>
      <c r="I117" s="902" t="str">
        <f t="shared" si="24"/>
        <v xml:space="preserve"> </v>
      </c>
      <c r="J117" s="1466"/>
      <c r="K117" s="903">
        <f t="shared" si="25"/>
        <v>0</v>
      </c>
      <c r="L117" s="891"/>
      <c r="M117" s="892"/>
      <c r="N117" s="892"/>
      <c r="O117" s="892"/>
      <c r="P117" s="892"/>
      <c r="Q117" s="892"/>
      <c r="R117" s="461"/>
      <c r="S117" s="906">
        <f t="shared" si="26"/>
        <v>0</v>
      </c>
      <c r="T117" s="891"/>
      <c r="U117" s="895"/>
      <c r="V117" s="405"/>
    </row>
    <row r="118" spans="2:22" ht="15.75" thickBot="1" x14ac:dyDescent="0.3">
      <c r="B118" s="450"/>
      <c r="C118" s="45"/>
      <c r="D118" s="44"/>
      <c r="E118" s="44"/>
      <c r="F118" s="44"/>
      <c r="G118" s="48" t="s">
        <v>161</v>
      </c>
      <c r="H118" s="48"/>
      <c r="I118" s="351" t="str">
        <f t="shared" si="24"/>
        <v xml:space="preserve"> </v>
      </c>
      <c r="J118" s="36">
        <f t="shared" ref="J118:Q118" si="27">SUM(J111:J117)</f>
        <v>0</v>
      </c>
      <c r="K118" s="22">
        <f t="shared" si="27"/>
        <v>0</v>
      </c>
      <c r="L118" s="1527">
        <f t="shared" si="27"/>
        <v>0</v>
      </c>
      <c r="M118" s="1528">
        <f t="shared" si="27"/>
        <v>0</v>
      </c>
      <c r="N118" s="1528">
        <f t="shared" si="27"/>
        <v>0</v>
      </c>
      <c r="O118" s="1528">
        <f t="shared" si="27"/>
        <v>0</v>
      </c>
      <c r="P118" s="1528">
        <f t="shared" si="27"/>
        <v>0</v>
      </c>
      <c r="Q118" s="1528">
        <f t="shared" si="27"/>
        <v>0</v>
      </c>
      <c r="R118" s="462"/>
      <c r="S118" s="905">
        <f>SUM(S111:S117)</f>
        <v>0</v>
      </c>
      <c r="T118" s="1530">
        <f>SUM(T111:T117)</f>
        <v>0</v>
      </c>
      <c r="U118" s="1531">
        <f>SUM(U111:U117)</f>
        <v>0</v>
      </c>
      <c r="V118" s="405"/>
    </row>
    <row r="119" spans="2:22" ht="7.5" customHeight="1" thickBot="1" x14ac:dyDescent="0.3">
      <c r="B119" s="450"/>
      <c r="C119" s="50"/>
      <c r="D119" s="44"/>
      <c r="E119" s="44"/>
      <c r="F119" s="44"/>
      <c r="G119" s="44"/>
      <c r="H119" s="44"/>
      <c r="I119" s="45"/>
      <c r="J119" s="20"/>
      <c r="K119" s="45"/>
      <c r="L119" s="20"/>
      <c r="M119" s="20"/>
      <c r="N119" s="20"/>
      <c r="O119" s="20"/>
      <c r="P119" s="45"/>
      <c r="Q119" s="20"/>
      <c r="R119" s="461"/>
      <c r="S119" s="20"/>
      <c r="T119" s="20"/>
      <c r="U119" s="20"/>
      <c r="V119" s="405"/>
    </row>
    <row r="120" spans="2:22" ht="15.75" thickBot="1" x14ac:dyDescent="0.3">
      <c r="B120" s="450"/>
      <c r="C120" s="156" t="s">
        <v>230</v>
      </c>
      <c r="D120" s="157"/>
      <c r="E120" s="157"/>
      <c r="F120" s="157"/>
      <c r="G120" s="157"/>
      <c r="H120" s="157"/>
      <c r="I120" s="34"/>
      <c r="J120" s="25">
        <f>J28+J47+J63+J68+J76+J87+J93+J107+J118</f>
        <v>0</v>
      </c>
      <c r="K120" s="21">
        <f>K28+K47+K63+K68+K76+K87+K93+K107+K118</f>
        <v>0</v>
      </c>
      <c r="L120" s="477"/>
      <c r="M120" s="477"/>
      <c r="N120" s="477"/>
      <c r="O120" s="477"/>
      <c r="P120" s="477"/>
      <c r="Q120" s="477"/>
      <c r="R120" s="460"/>
      <c r="S120" s="23">
        <f>S28+S47+S63+S68+S76+S87+S93+S107+S118</f>
        <v>0</v>
      </c>
      <c r="T120" s="477"/>
      <c r="U120" s="478"/>
      <c r="V120" s="405"/>
    </row>
    <row r="121" spans="2:22" ht="15.75" thickBot="1" x14ac:dyDescent="0.3">
      <c r="B121" s="450"/>
      <c r="C121" s="158" t="s">
        <v>231</v>
      </c>
      <c r="D121" s="159"/>
      <c r="E121" s="159"/>
      <c r="F121" s="159"/>
      <c r="G121" s="159"/>
      <c r="H121" s="159"/>
      <c r="I121" s="35"/>
      <c r="J121" s="24">
        <f>(K121+S121)</f>
        <v>0</v>
      </c>
      <c r="K121" s="22">
        <f>SUM(L121:Q121)</f>
        <v>0</v>
      </c>
      <c r="L121" s="1532">
        <f t="shared" ref="L121:Q121" si="28">L28+L47+L63+L68+L76+L87+L93+L107+L118</f>
        <v>0</v>
      </c>
      <c r="M121" s="1533">
        <f t="shared" si="28"/>
        <v>0</v>
      </c>
      <c r="N121" s="1533">
        <f t="shared" si="28"/>
        <v>0</v>
      </c>
      <c r="O121" s="1533">
        <f t="shared" si="28"/>
        <v>0</v>
      </c>
      <c r="P121" s="1533">
        <f t="shared" si="28"/>
        <v>0</v>
      </c>
      <c r="Q121" s="1533">
        <f t="shared" si="28"/>
        <v>0</v>
      </c>
      <c r="R121" s="479"/>
      <c r="S121" s="463">
        <f>SUM(T121:U121)</f>
        <v>0</v>
      </c>
      <c r="T121" s="1532">
        <f>T28+T47+T63+T68+T76+T87+T93+T107+T118</f>
        <v>0</v>
      </c>
      <c r="U121" s="1534">
        <f>U28+U47+U63+U68+U76+U87+U93+U107+U118</f>
        <v>0</v>
      </c>
      <c r="V121" s="405"/>
    </row>
    <row r="122" spans="2:22" x14ac:dyDescent="0.25">
      <c r="B122" s="450"/>
      <c r="C122" s="353"/>
      <c r="D122" s="353"/>
      <c r="E122" s="353"/>
      <c r="F122" s="353"/>
      <c r="G122" s="353"/>
      <c r="H122" s="353"/>
      <c r="I122" s="354"/>
      <c r="J122" s="2440" t="str">
        <f>IF(AND((K120+S120)&lt;&gt;0,'7A'!F48&lt;&gt;0,(K120+S120)&lt;&gt;'7A'!F48),"WARNING: Sources on Form 6A do not match Sources on Form 7A","")</f>
        <v/>
      </c>
      <c r="K122" s="2440"/>
      <c r="L122" s="2440"/>
      <c r="M122" s="2440"/>
      <c r="N122" s="2440"/>
      <c r="O122" s="2440"/>
      <c r="P122" s="16"/>
      <c r="Q122" s="16"/>
      <c r="R122" s="480"/>
      <c r="S122" s="16"/>
      <c r="T122" s="16"/>
      <c r="U122" s="16"/>
      <c r="V122" s="405"/>
    </row>
    <row r="123" spans="2:22" ht="9" customHeight="1" thickBot="1" x14ac:dyDescent="0.3">
      <c r="B123" s="465"/>
      <c r="C123" s="481"/>
      <c r="D123" s="481"/>
      <c r="E123" s="481"/>
      <c r="F123" s="481"/>
      <c r="G123" s="481"/>
      <c r="H123" s="481"/>
      <c r="I123" s="481"/>
      <c r="J123" s="482" t="s">
        <v>34</v>
      </c>
      <c r="K123" s="481"/>
      <c r="L123" s="481"/>
      <c r="M123" s="481"/>
      <c r="N123" s="481"/>
      <c r="O123" s="481"/>
      <c r="P123" s="481"/>
      <c r="Q123" s="481"/>
      <c r="R123" s="481"/>
      <c r="S123" s="481"/>
      <c r="T123" s="481"/>
      <c r="U123" s="481"/>
      <c r="V123" s="483"/>
    </row>
    <row r="126" spans="2:22" x14ac:dyDescent="0.25">
      <c r="J126" s="1741"/>
    </row>
    <row r="127" spans="2:22" x14ac:dyDescent="0.25">
      <c r="J127" s="1740"/>
    </row>
  </sheetData>
  <sheetProtection algorithmName="SHA-512" hashValue="BCRCWQSjjf8rn6jhz7SlcIfufBdXzFSO/jPnYeadNN6BvaFJ7QO0tnxhq0c9jDaYkMQ3uVWhjVSTE41B1MDZ+A==" saltValue="At8/0Vzgos7z7mol/WIKXQ==" spinCount="100000" sheet="1" formatCells="0" formatColumns="0" formatRows="0"/>
  <mergeCells count="22">
    <mergeCell ref="J122:O122"/>
    <mergeCell ref="E27:G27"/>
    <mergeCell ref="E46:G46"/>
    <mergeCell ref="E62:G62"/>
    <mergeCell ref="E86:G86"/>
    <mergeCell ref="E92:G92"/>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s>
  <conditionalFormatting sqref="J22">
    <cfRule type="expression" dxfId="82" priority="27">
      <formula>J22&lt;&gt;(K22+S22)</formula>
    </cfRule>
  </conditionalFormatting>
  <conditionalFormatting sqref="J27">
    <cfRule type="expression" dxfId="81" priority="26">
      <formula>J27&lt;&gt;(K27+S27)</formula>
    </cfRule>
  </conditionalFormatting>
  <conditionalFormatting sqref="J23:J26">
    <cfRule type="expression" dxfId="80" priority="25">
      <formula>J23&lt;&gt;(K23+S23)</formula>
    </cfRule>
  </conditionalFormatting>
  <conditionalFormatting sqref="J31">
    <cfRule type="expression" dxfId="79" priority="24">
      <formula>J31&lt;&gt;(K31+S31)</formula>
    </cfRule>
  </conditionalFormatting>
  <conditionalFormatting sqref="J50">
    <cfRule type="expression" dxfId="78" priority="23">
      <formula>J50&lt;&gt;(K50+S50)</formula>
    </cfRule>
  </conditionalFormatting>
  <conditionalFormatting sqref="J66">
    <cfRule type="expression" dxfId="77" priority="22">
      <formula>J66&lt;&gt;(K66+S66)</formula>
    </cfRule>
  </conditionalFormatting>
  <conditionalFormatting sqref="J71">
    <cfRule type="expression" dxfId="76" priority="21">
      <formula>J71&lt;&gt;(K71+S71)</formula>
    </cfRule>
  </conditionalFormatting>
  <conditionalFormatting sqref="J79">
    <cfRule type="expression" dxfId="75" priority="20">
      <formula>J79&lt;&gt;(K79+S79)</formula>
    </cfRule>
  </conditionalFormatting>
  <conditionalFormatting sqref="J90">
    <cfRule type="expression" dxfId="74" priority="19">
      <formula>J90&lt;&gt;(K90+S90)</formula>
    </cfRule>
  </conditionalFormatting>
  <conditionalFormatting sqref="J96">
    <cfRule type="expression" dxfId="73" priority="18">
      <formula>J96&lt;&gt;(K96+S96)</formula>
    </cfRule>
  </conditionalFormatting>
  <conditionalFormatting sqref="J111">
    <cfRule type="expression" dxfId="72" priority="17">
      <formula>J111&lt;&gt;(K111+S111)</formula>
    </cfRule>
  </conditionalFormatting>
  <conditionalFormatting sqref="J46">
    <cfRule type="expression" dxfId="71" priority="16">
      <formula>J46&lt;&gt;(K46+S46)</formula>
    </cfRule>
  </conditionalFormatting>
  <conditionalFormatting sqref="J62">
    <cfRule type="expression" dxfId="70" priority="15">
      <formula>J62&lt;&gt;(K62+S62)</formula>
    </cfRule>
  </conditionalFormatting>
  <conditionalFormatting sqref="J67">
    <cfRule type="expression" dxfId="69" priority="14">
      <formula>J67&lt;&gt;(K67+S67)</formula>
    </cfRule>
  </conditionalFormatting>
  <conditionalFormatting sqref="J75">
    <cfRule type="expression" dxfId="68" priority="13">
      <formula>J75&lt;&gt;(K75+S75)</formula>
    </cfRule>
  </conditionalFormatting>
  <conditionalFormatting sqref="J86">
    <cfRule type="expression" dxfId="67" priority="12">
      <formula>J86&lt;&gt;(K86+S86)</formula>
    </cfRule>
  </conditionalFormatting>
  <conditionalFormatting sqref="J92">
    <cfRule type="expression" dxfId="66" priority="11">
      <formula>J92&lt;&gt;(K92+S92)</formula>
    </cfRule>
  </conditionalFormatting>
  <conditionalFormatting sqref="J106">
    <cfRule type="expression" dxfId="65" priority="10">
      <formula>J106&lt;&gt;(K106+S106)</formula>
    </cfRule>
  </conditionalFormatting>
  <conditionalFormatting sqref="J117">
    <cfRule type="expression" dxfId="64" priority="9">
      <formula>J117&lt;&gt;(K117+S117)</formula>
    </cfRule>
  </conditionalFormatting>
  <conditionalFormatting sqref="J32:J45">
    <cfRule type="expression" dxfId="63" priority="8">
      <formula>J32&lt;&gt;(K32+S32)</formula>
    </cfRule>
  </conditionalFormatting>
  <conditionalFormatting sqref="J51:J61">
    <cfRule type="expression" dxfId="62" priority="7">
      <formula>J51&lt;&gt;(K51+S51)</formula>
    </cfRule>
  </conditionalFormatting>
  <conditionalFormatting sqref="J72:J74">
    <cfRule type="expression" dxfId="61" priority="6">
      <formula>J72&lt;&gt;(K72+S72)</formula>
    </cfRule>
  </conditionalFormatting>
  <conditionalFormatting sqref="J80:J85">
    <cfRule type="expression" dxfId="60" priority="5">
      <formula>J80&lt;&gt;(K80+S80)</formula>
    </cfRule>
  </conditionalFormatting>
  <conditionalFormatting sqref="J91">
    <cfRule type="expression" dxfId="59" priority="4">
      <formula>J91&lt;&gt;(K91+S91)</formula>
    </cfRule>
  </conditionalFormatting>
  <conditionalFormatting sqref="J97:J105">
    <cfRule type="expression" dxfId="58" priority="3">
      <formula>J97&lt;&gt;(K97+S97)</formula>
    </cfRule>
  </conditionalFormatting>
  <conditionalFormatting sqref="J112:J116">
    <cfRule type="expression" dxfId="57" priority="2">
      <formula>J112&lt;&gt;(K112+S112)</formula>
    </cfRule>
  </conditionalFormatting>
  <conditionalFormatting sqref="J121">
    <cfRule type="expression" dxfId="56" priority="31">
      <formula>$J$121&lt;&gt;(#REF!+#REF!)</formula>
    </cfRule>
  </conditionalFormatting>
  <conditionalFormatting sqref="J122:O122">
    <cfRule type="containsText" dxfId="55" priority="1" operator="containsText" text="warning">
      <formula>NOT(ISERROR(SEARCH("warning",J122)))</formula>
    </cfRule>
  </conditionalFormatting>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xr:uid="{00000000-0002-0000-0E00-000000000000}"/>
    <dataValidation allowBlank="1" showInputMessage="1" showErrorMessage="1" promptTitle="Rehab Contingency %" prompt="Defined as Rehab Contingency divided by the sum of Rehab, Contractor Profit, Contractor Overhead, and Bond Premium amounts_x000a__x000a_% =J27 / (J23+J24+J25+J34)" sqref="G37" xr:uid="{00000000-0002-0000-0E00-000001000000}"/>
  </dataValidations>
  <pageMargins left="0.25" right="0.25" top="0.75" bottom="0.75" header="0.3" footer="0.3"/>
  <pageSetup scale="82" fitToHeight="4" orientation="landscape" r:id="rId1"/>
  <headerFooter>
    <oddFooter>&amp;LForm 6A
Development Budgets&amp;CCFA Forms</oddFooter>
  </headerFooter>
  <rowBreaks count="3" manualBreakCount="3">
    <brk id="48" min="1" max="21" man="1"/>
    <brk id="77" min="1" max="21" man="1"/>
    <brk id="108" min="1" max="2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5:L102"/>
  <sheetViews>
    <sheetView showGridLines="0" zoomScaleNormal="100" workbookViewId="0">
      <selection activeCell="H33" sqref="H33"/>
    </sheetView>
  </sheetViews>
  <sheetFormatPr defaultColWidth="9.140625" defaultRowHeight="15" x14ac:dyDescent="0.25"/>
  <cols>
    <col min="1" max="2" width="1.7109375" style="395" customWidth="1"/>
    <col min="3" max="3" width="2.85546875" style="395" customWidth="1"/>
    <col min="4" max="4" width="5.7109375" style="395" customWidth="1"/>
    <col min="5" max="5" width="8.5703125" style="395" customWidth="1"/>
    <col min="6" max="6" width="12.85546875" style="395" customWidth="1"/>
    <col min="7" max="7" width="10.7109375" style="395" customWidth="1"/>
    <col min="8" max="8" width="1.42578125" style="395" customWidth="1"/>
    <col min="9" max="9" width="12.5703125" style="395" bestFit="1" customWidth="1"/>
    <col min="10" max="10" width="19.28515625" style="395" customWidth="1"/>
    <col min="11" max="11" width="40.7109375" style="395" customWidth="1"/>
    <col min="12" max="12" width="1.7109375" style="395" customWidth="1"/>
    <col min="13" max="16384" width="9.140625" style="395"/>
  </cols>
  <sheetData>
    <row r="5" spans="2:12" ht="15.75" thickBot="1" x14ac:dyDescent="0.3"/>
    <row r="6" spans="2:12" ht="9" customHeight="1" x14ac:dyDescent="0.25">
      <c r="B6" s="485"/>
      <c r="C6" s="486"/>
      <c r="D6" s="486"/>
      <c r="E6" s="486"/>
      <c r="F6" s="486"/>
      <c r="G6" s="486"/>
      <c r="H6" s="486"/>
      <c r="I6" s="486"/>
      <c r="J6" s="486"/>
      <c r="K6" s="486"/>
      <c r="L6" s="487"/>
    </row>
    <row r="7" spans="2:12" ht="18.75" x14ac:dyDescent="0.3">
      <c r="B7" s="488"/>
      <c r="C7" s="2293" t="s">
        <v>542</v>
      </c>
      <c r="D7" s="2293"/>
      <c r="E7" s="2293"/>
      <c r="F7" s="2293"/>
      <c r="G7" s="2293"/>
      <c r="H7" s="2293"/>
      <c r="I7" s="2293"/>
      <c r="J7" s="2293"/>
      <c r="K7" s="2293"/>
      <c r="L7" s="489"/>
    </row>
    <row r="8" spans="2:12" x14ac:dyDescent="0.25">
      <c r="B8" s="488"/>
      <c r="C8" s="490"/>
      <c r="D8" s="490"/>
      <c r="E8" s="490"/>
      <c r="F8" s="490"/>
      <c r="G8" s="490"/>
      <c r="H8" s="490"/>
      <c r="I8" s="490"/>
      <c r="J8" s="490"/>
      <c r="K8" s="490"/>
      <c r="L8" s="489"/>
    </row>
    <row r="9" spans="2:12" ht="15.75" thickBot="1" x14ac:dyDescent="0.3">
      <c r="B9" s="488"/>
      <c r="C9" s="2450" t="str">
        <f>IF('1'!G5="","Enter Project Name on Form 1",(CONCATENATE("Project Name: ",'1'!G5)))</f>
        <v>Enter Project Name on Form 1</v>
      </c>
      <c r="D9" s="2450"/>
      <c r="E9" s="2450"/>
      <c r="F9" s="2450"/>
      <c r="G9" s="2450"/>
      <c r="H9" s="2450"/>
      <c r="I9" s="2450"/>
      <c r="J9" s="2450"/>
      <c r="K9" s="2450"/>
      <c r="L9" s="489"/>
    </row>
    <row r="10" spans="2:12" ht="7.5" customHeight="1" thickBot="1" x14ac:dyDescent="0.3">
      <c r="B10" s="493"/>
      <c r="C10" s="494"/>
      <c r="D10" s="494"/>
      <c r="E10" s="494"/>
      <c r="F10" s="494"/>
      <c r="G10" s="494"/>
      <c r="H10" s="494"/>
      <c r="I10" s="494"/>
      <c r="J10" s="494"/>
      <c r="K10" s="452"/>
      <c r="L10" s="489"/>
    </row>
    <row r="11" spans="2:12" x14ac:dyDescent="0.25">
      <c r="B11" s="493"/>
      <c r="C11" s="68"/>
      <c r="D11" s="68"/>
      <c r="E11" s="68"/>
      <c r="F11" s="68"/>
      <c r="G11" s="68"/>
      <c r="H11" s="68"/>
      <c r="I11" s="2451" t="s">
        <v>152</v>
      </c>
      <c r="J11" s="2452"/>
      <c r="K11" s="2453"/>
      <c r="L11" s="489"/>
    </row>
    <row r="12" spans="2:12" ht="37.5" customHeight="1" thickBot="1" x14ac:dyDescent="0.3">
      <c r="B12" s="493"/>
      <c r="C12" s="69"/>
      <c r="D12" s="45"/>
      <c r="E12" s="45"/>
      <c r="F12" s="70"/>
      <c r="G12" s="70"/>
      <c r="H12" s="70"/>
      <c r="I12" s="163" t="s">
        <v>232</v>
      </c>
      <c r="J12" s="2454" t="s">
        <v>233</v>
      </c>
      <c r="K12" s="2455"/>
      <c r="L12" s="489"/>
    </row>
    <row r="13" spans="2:12" ht="15.75" thickBot="1" x14ac:dyDescent="0.3">
      <c r="B13" s="493"/>
      <c r="C13" s="60" t="s">
        <v>155</v>
      </c>
      <c r="D13" s="61"/>
      <c r="E13" s="61"/>
      <c r="F13" s="62"/>
      <c r="G13" s="62"/>
      <c r="H13" s="62"/>
      <c r="I13" s="43"/>
      <c r="J13" s="43"/>
      <c r="K13" s="490"/>
      <c r="L13" s="489"/>
    </row>
    <row r="14" spans="2:12" x14ac:dyDescent="0.25">
      <c r="B14" s="493"/>
      <c r="C14" s="452"/>
      <c r="D14" s="150" t="s">
        <v>156</v>
      </c>
      <c r="E14" s="150"/>
      <c r="F14" s="150"/>
      <c r="G14" s="150"/>
      <c r="H14" s="151"/>
      <c r="I14" s="907">
        <f>'6A'!K22</f>
        <v>0</v>
      </c>
      <c r="J14" s="2448"/>
      <c r="K14" s="2449"/>
      <c r="L14" s="489"/>
    </row>
    <row r="15" spans="2:12" x14ac:dyDescent="0.25">
      <c r="B15" s="493"/>
      <c r="C15" s="452"/>
      <c r="D15" s="152" t="s">
        <v>157</v>
      </c>
      <c r="E15" s="152"/>
      <c r="F15" s="152"/>
      <c r="G15" s="152"/>
      <c r="H15" s="153"/>
      <c r="I15" s="908">
        <f>'6A'!K23</f>
        <v>0</v>
      </c>
      <c r="J15" s="2444"/>
      <c r="K15" s="2445"/>
      <c r="L15" s="489"/>
    </row>
    <row r="16" spans="2:12" x14ac:dyDescent="0.25">
      <c r="B16" s="493"/>
      <c r="C16" s="452"/>
      <c r="D16" s="152" t="s">
        <v>158</v>
      </c>
      <c r="E16" s="152"/>
      <c r="F16" s="152"/>
      <c r="G16" s="152"/>
      <c r="H16" s="153"/>
      <c r="I16" s="908">
        <f>'6A'!K24</f>
        <v>0</v>
      </c>
      <c r="J16" s="2444"/>
      <c r="K16" s="2445"/>
      <c r="L16" s="489"/>
    </row>
    <row r="17" spans="2:12" x14ac:dyDescent="0.25">
      <c r="B17" s="493"/>
      <c r="C17" s="452"/>
      <c r="D17" s="152" t="s">
        <v>159</v>
      </c>
      <c r="E17" s="152"/>
      <c r="F17" s="152"/>
      <c r="G17" s="152"/>
      <c r="H17" s="153"/>
      <c r="I17" s="908">
        <f>'6A'!K25</f>
        <v>0</v>
      </c>
      <c r="J17" s="2444"/>
      <c r="K17" s="2445"/>
      <c r="L17" s="489"/>
    </row>
    <row r="18" spans="2:12" x14ac:dyDescent="0.25">
      <c r="B18" s="493"/>
      <c r="C18" s="452"/>
      <c r="D18" s="152" t="s">
        <v>160</v>
      </c>
      <c r="E18" s="152"/>
      <c r="F18" s="152"/>
      <c r="G18" s="152"/>
      <c r="H18" s="153"/>
      <c r="I18" s="908">
        <f>'6A'!K26</f>
        <v>0</v>
      </c>
      <c r="J18" s="2444"/>
      <c r="K18" s="2445"/>
      <c r="L18" s="489"/>
    </row>
    <row r="19" spans="2:12" ht="15.75" thickBot="1" x14ac:dyDescent="0.3">
      <c r="B19" s="493"/>
      <c r="C19" s="452"/>
      <c r="D19" s="152" t="s">
        <v>234</v>
      </c>
      <c r="E19" s="152"/>
      <c r="F19" s="152"/>
      <c r="G19" s="152"/>
      <c r="H19" s="153"/>
      <c r="I19" s="909">
        <f>'6A'!K27</f>
        <v>0</v>
      </c>
      <c r="J19" s="2446"/>
      <c r="K19" s="2447"/>
      <c r="L19" s="489"/>
    </row>
    <row r="20" spans="2:12" ht="3.75" customHeight="1" x14ac:dyDescent="0.25">
      <c r="B20" s="493"/>
      <c r="C20" s="47"/>
      <c r="D20" s="48"/>
      <c r="E20" s="48"/>
      <c r="F20" s="44"/>
      <c r="G20" s="44"/>
      <c r="H20" s="44"/>
      <c r="I20" s="39"/>
      <c r="J20" s="39"/>
      <c r="K20" s="490"/>
      <c r="L20" s="489"/>
    </row>
    <row r="21" spans="2:12" ht="15.75" thickBot="1" x14ac:dyDescent="0.3">
      <c r="B21" s="493"/>
      <c r="C21" s="60" t="s">
        <v>162</v>
      </c>
      <c r="D21" s="61"/>
      <c r="E21" s="61"/>
      <c r="F21" s="62"/>
      <c r="G21" s="62"/>
      <c r="H21" s="62"/>
      <c r="I21" s="40"/>
      <c r="J21" s="40"/>
      <c r="K21" s="452"/>
      <c r="L21" s="489"/>
    </row>
    <row r="22" spans="2:12" x14ac:dyDescent="0.25">
      <c r="B22" s="493"/>
      <c r="C22" s="452"/>
      <c r="D22" s="150" t="s">
        <v>163</v>
      </c>
      <c r="E22" s="150"/>
      <c r="F22" s="150"/>
      <c r="G22" s="150"/>
      <c r="H22" s="151"/>
      <c r="I22" s="907">
        <f>'6A'!K31</f>
        <v>0</v>
      </c>
      <c r="J22" s="2448"/>
      <c r="K22" s="2449"/>
      <c r="L22" s="489"/>
    </row>
    <row r="23" spans="2:12" x14ac:dyDescent="0.25">
      <c r="B23" s="493"/>
      <c r="C23" s="452"/>
      <c r="D23" s="152" t="s">
        <v>164</v>
      </c>
      <c r="E23" s="152"/>
      <c r="F23" s="152"/>
      <c r="G23" s="152"/>
      <c r="H23" s="153"/>
      <c r="I23" s="908">
        <f>'6A'!K32</f>
        <v>0</v>
      </c>
      <c r="J23" s="2444"/>
      <c r="K23" s="2445"/>
      <c r="L23" s="489"/>
    </row>
    <row r="24" spans="2:12" x14ac:dyDescent="0.25">
      <c r="B24" s="493"/>
      <c r="C24" s="452"/>
      <c r="D24" s="152" t="s">
        <v>165</v>
      </c>
      <c r="E24" s="152"/>
      <c r="F24" s="152"/>
      <c r="G24" s="152"/>
      <c r="H24" s="153"/>
      <c r="I24" s="908">
        <f>'6A'!K33</f>
        <v>0</v>
      </c>
      <c r="J24" s="2444"/>
      <c r="K24" s="2445"/>
      <c r="L24" s="489"/>
    </row>
    <row r="25" spans="2:12" x14ac:dyDescent="0.25">
      <c r="B25" s="493"/>
      <c r="C25" s="452"/>
      <c r="D25" s="152" t="s">
        <v>166</v>
      </c>
      <c r="E25" s="152"/>
      <c r="F25" s="152"/>
      <c r="G25" s="152"/>
      <c r="H25" s="153"/>
      <c r="I25" s="908">
        <f>'6A'!K34</f>
        <v>0</v>
      </c>
      <c r="J25" s="2444"/>
      <c r="K25" s="2445"/>
      <c r="L25" s="489"/>
    </row>
    <row r="26" spans="2:12" x14ac:dyDescent="0.25">
      <c r="B26" s="493"/>
      <c r="C26" s="452"/>
      <c r="D26" s="152" t="s">
        <v>167</v>
      </c>
      <c r="E26" s="152"/>
      <c r="F26" s="152"/>
      <c r="G26" s="152"/>
      <c r="H26" s="153"/>
      <c r="I26" s="908">
        <f>'6A'!K35</f>
        <v>0</v>
      </c>
      <c r="J26" s="2444"/>
      <c r="K26" s="2445"/>
      <c r="L26" s="489"/>
    </row>
    <row r="27" spans="2:12" x14ac:dyDescent="0.25">
      <c r="B27" s="493"/>
      <c r="C27" s="452"/>
      <c r="D27" s="152" t="s">
        <v>168</v>
      </c>
      <c r="E27" s="152"/>
      <c r="F27" s="152"/>
      <c r="G27" s="152"/>
      <c r="H27" s="153"/>
      <c r="I27" s="908">
        <f>'6A'!K36</f>
        <v>0</v>
      </c>
      <c r="J27" s="2444"/>
      <c r="K27" s="2445"/>
      <c r="L27" s="489"/>
    </row>
    <row r="28" spans="2:12" x14ac:dyDescent="0.25">
      <c r="B28" s="493"/>
      <c r="C28" s="452"/>
      <c r="D28" s="152" t="s">
        <v>169</v>
      </c>
      <c r="E28" s="152"/>
      <c r="F28" s="152"/>
      <c r="G28" s="152"/>
      <c r="H28" s="153"/>
      <c r="I28" s="908">
        <f>'6A'!K37</f>
        <v>0</v>
      </c>
      <c r="J28" s="2444"/>
      <c r="K28" s="2445"/>
      <c r="L28" s="489"/>
    </row>
    <row r="29" spans="2:12" x14ac:dyDescent="0.25">
      <c r="B29" s="493"/>
      <c r="C29" s="452"/>
      <c r="D29" s="152" t="s">
        <v>170</v>
      </c>
      <c r="E29" s="152"/>
      <c r="F29" s="152"/>
      <c r="G29" s="152"/>
      <c r="H29" s="153"/>
      <c r="I29" s="908">
        <f>'6A'!K38</f>
        <v>0</v>
      </c>
      <c r="J29" s="2444"/>
      <c r="K29" s="2445"/>
      <c r="L29" s="489"/>
    </row>
    <row r="30" spans="2:12" x14ac:dyDescent="0.25">
      <c r="B30" s="493"/>
      <c r="C30" s="452"/>
      <c r="D30" s="152" t="s">
        <v>171</v>
      </c>
      <c r="E30" s="152"/>
      <c r="F30" s="152"/>
      <c r="G30" s="152"/>
      <c r="H30" s="153"/>
      <c r="I30" s="908">
        <f>'6A'!K39</f>
        <v>0</v>
      </c>
      <c r="J30" s="2444"/>
      <c r="K30" s="2445"/>
      <c r="L30" s="489"/>
    </row>
    <row r="31" spans="2:12" x14ac:dyDescent="0.25">
      <c r="B31" s="493"/>
      <c r="C31" s="452"/>
      <c r="D31" s="152" t="s">
        <v>172</v>
      </c>
      <c r="E31" s="152"/>
      <c r="F31" s="152"/>
      <c r="G31" s="152"/>
      <c r="H31" s="153"/>
      <c r="I31" s="908">
        <f>'6A'!K40</f>
        <v>0</v>
      </c>
      <c r="J31" s="2444"/>
      <c r="K31" s="2445"/>
      <c r="L31" s="489"/>
    </row>
    <row r="32" spans="2:12" x14ac:dyDescent="0.25">
      <c r="B32" s="493"/>
      <c r="C32" s="452"/>
      <c r="D32" s="152" t="s">
        <v>173</v>
      </c>
      <c r="E32" s="152"/>
      <c r="F32" s="152"/>
      <c r="G32" s="152"/>
      <c r="H32" s="153"/>
      <c r="I32" s="908">
        <f>'6A'!K41</f>
        <v>0</v>
      </c>
      <c r="J32" s="2444"/>
      <c r="K32" s="2445"/>
      <c r="L32" s="489"/>
    </row>
    <row r="33" spans="2:12" x14ac:dyDescent="0.25">
      <c r="B33" s="493"/>
      <c r="C33" s="452"/>
      <c r="D33" s="152" t="s">
        <v>174</v>
      </c>
      <c r="E33" s="152"/>
      <c r="F33" s="152"/>
      <c r="G33" s="152"/>
      <c r="H33" s="153"/>
      <c r="I33" s="908">
        <f>'6A'!K42</f>
        <v>0</v>
      </c>
      <c r="J33" s="2444"/>
      <c r="K33" s="2445"/>
      <c r="L33" s="489"/>
    </row>
    <row r="34" spans="2:12" x14ac:dyDescent="0.25">
      <c r="B34" s="493"/>
      <c r="C34" s="452"/>
      <c r="D34" s="152" t="s">
        <v>175</v>
      </c>
      <c r="E34" s="152"/>
      <c r="F34" s="152"/>
      <c r="G34" s="152"/>
      <c r="H34" s="153"/>
      <c r="I34" s="908">
        <f>'6A'!K43</f>
        <v>0</v>
      </c>
      <c r="J34" s="2444"/>
      <c r="K34" s="2445"/>
      <c r="L34" s="489"/>
    </row>
    <row r="35" spans="2:12" x14ac:dyDescent="0.25">
      <c r="B35" s="493"/>
      <c r="C35" s="452"/>
      <c r="D35" s="152" t="s">
        <v>176</v>
      </c>
      <c r="E35" s="152"/>
      <c r="F35" s="152"/>
      <c r="G35" s="152"/>
      <c r="H35" s="153"/>
      <c r="I35" s="908">
        <f>'6A'!K44</f>
        <v>0</v>
      </c>
      <c r="J35" s="2444"/>
      <c r="K35" s="2445"/>
      <c r="L35" s="489"/>
    </row>
    <row r="36" spans="2:12" x14ac:dyDescent="0.25">
      <c r="B36" s="493"/>
      <c r="C36" s="452"/>
      <c r="D36" s="152" t="s">
        <v>177</v>
      </c>
      <c r="E36" s="152"/>
      <c r="F36" s="152"/>
      <c r="G36" s="152"/>
      <c r="H36" s="153"/>
      <c r="I36" s="908">
        <f>'6A'!K45</f>
        <v>0</v>
      </c>
      <c r="J36" s="2444"/>
      <c r="K36" s="2445"/>
      <c r="L36" s="489"/>
    </row>
    <row r="37" spans="2:12" ht="15.75" thickBot="1" x14ac:dyDescent="0.3">
      <c r="B37" s="493"/>
      <c r="C37" s="452"/>
      <c r="D37" s="152" t="s">
        <v>235</v>
      </c>
      <c r="E37" s="152"/>
      <c r="F37" s="152"/>
      <c r="G37" s="152"/>
      <c r="H37" s="153"/>
      <c r="I37" s="909">
        <f>'6A'!K46</f>
        <v>0</v>
      </c>
      <c r="J37" s="2446"/>
      <c r="K37" s="2447"/>
      <c r="L37" s="489"/>
    </row>
    <row r="38" spans="2:12" ht="3.75" customHeight="1" x14ac:dyDescent="0.25">
      <c r="B38" s="493"/>
      <c r="C38" s="47"/>
      <c r="D38" s="48"/>
      <c r="E38" s="48"/>
      <c r="F38" s="44"/>
      <c r="G38" s="44"/>
      <c r="H38" s="44"/>
      <c r="I38" s="39"/>
      <c r="J38" s="39"/>
      <c r="K38" s="490"/>
      <c r="L38" s="489"/>
    </row>
    <row r="39" spans="2:12" ht="15.75" thickBot="1" x14ac:dyDescent="0.3">
      <c r="B39" s="493"/>
      <c r="C39" s="60" t="s">
        <v>178</v>
      </c>
      <c r="D39" s="61"/>
      <c r="E39" s="61"/>
      <c r="F39" s="62"/>
      <c r="G39" s="62"/>
      <c r="H39" s="62"/>
      <c r="I39" s="39"/>
      <c r="J39" s="39"/>
      <c r="K39" s="452"/>
      <c r="L39" s="489"/>
    </row>
    <row r="40" spans="2:12" x14ac:dyDescent="0.25">
      <c r="B40" s="493"/>
      <c r="C40" s="452"/>
      <c r="D40" s="150" t="s">
        <v>179</v>
      </c>
      <c r="E40" s="150"/>
      <c r="F40" s="150"/>
      <c r="G40" s="150"/>
      <c r="H40" s="151"/>
      <c r="I40" s="907">
        <f>'6A'!K50</f>
        <v>0</v>
      </c>
      <c r="J40" s="2448"/>
      <c r="K40" s="2449"/>
      <c r="L40" s="489"/>
    </row>
    <row r="41" spans="2:12" x14ac:dyDescent="0.25">
      <c r="B41" s="493"/>
      <c r="C41" s="452"/>
      <c r="D41" s="152" t="s">
        <v>180</v>
      </c>
      <c r="E41" s="152"/>
      <c r="F41" s="152"/>
      <c r="G41" s="152"/>
      <c r="H41" s="153"/>
      <c r="I41" s="908">
        <f>'6A'!K51</f>
        <v>0</v>
      </c>
      <c r="J41" s="2444"/>
      <c r="K41" s="2445"/>
      <c r="L41" s="489"/>
    </row>
    <row r="42" spans="2:12" x14ac:dyDescent="0.25">
      <c r="B42" s="493"/>
      <c r="C42" s="452"/>
      <c r="D42" s="152" t="s">
        <v>181</v>
      </c>
      <c r="E42" s="152"/>
      <c r="F42" s="152"/>
      <c r="G42" s="152"/>
      <c r="H42" s="153"/>
      <c r="I42" s="908">
        <f>'6A'!K52</f>
        <v>0</v>
      </c>
      <c r="J42" s="2444"/>
      <c r="K42" s="2445"/>
      <c r="L42" s="489"/>
    </row>
    <row r="43" spans="2:12" x14ac:dyDescent="0.25">
      <c r="B43" s="493"/>
      <c r="C43" s="452"/>
      <c r="D43" s="152" t="s">
        <v>182</v>
      </c>
      <c r="E43" s="152"/>
      <c r="F43" s="152"/>
      <c r="G43" s="152"/>
      <c r="H43" s="153"/>
      <c r="I43" s="908">
        <f>'6A'!K53</f>
        <v>0</v>
      </c>
      <c r="J43" s="2444"/>
      <c r="K43" s="2445"/>
      <c r="L43" s="489"/>
    </row>
    <row r="44" spans="2:12" x14ac:dyDescent="0.25">
      <c r="B44" s="493"/>
      <c r="C44" s="452"/>
      <c r="D44" s="152" t="s">
        <v>183</v>
      </c>
      <c r="E44" s="152"/>
      <c r="F44" s="152"/>
      <c r="G44" s="152"/>
      <c r="H44" s="153"/>
      <c r="I44" s="908">
        <f>'6A'!K54</f>
        <v>0</v>
      </c>
      <c r="J44" s="2444"/>
      <c r="K44" s="2445"/>
      <c r="L44" s="489"/>
    </row>
    <row r="45" spans="2:12" x14ac:dyDescent="0.25">
      <c r="B45" s="493"/>
      <c r="C45" s="452"/>
      <c r="D45" s="152" t="s">
        <v>184</v>
      </c>
      <c r="E45" s="152"/>
      <c r="F45" s="152"/>
      <c r="G45" s="152"/>
      <c r="H45" s="153"/>
      <c r="I45" s="908">
        <f>'6A'!K55</f>
        <v>0</v>
      </c>
      <c r="J45" s="2444"/>
      <c r="K45" s="2445"/>
      <c r="L45" s="489"/>
    </row>
    <row r="46" spans="2:12" x14ac:dyDescent="0.25">
      <c r="B46" s="493"/>
      <c r="C46" s="452"/>
      <c r="D46" s="152" t="s">
        <v>185</v>
      </c>
      <c r="E46" s="152"/>
      <c r="F46" s="152"/>
      <c r="G46" s="152"/>
      <c r="H46" s="153"/>
      <c r="I46" s="908">
        <f>'6A'!K56</f>
        <v>0</v>
      </c>
      <c r="J46" s="2444"/>
      <c r="K46" s="2445"/>
      <c r="L46" s="489"/>
    </row>
    <row r="47" spans="2:12" x14ac:dyDescent="0.25">
      <c r="B47" s="493"/>
      <c r="C47" s="452"/>
      <c r="D47" s="152" t="s">
        <v>186</v>
      </c>
      <c r="E47" s="152"/>
      <c r="F47" s="152"/>
      <c r="G47" s="152"/>
      <c r="H47" s="153"/>
      <c r="I47" s="908">
        <f>'6A'!K57</f>
        <v>0</v>
      </c>
      <c r="J47" s="2444"/>
      <c r="K47" s="2445"/>
      <c r="L47" s="489"/>
    </row>
    <row r="48" spans="2:12" x14ac:dyDescent="0.25">
      <c r="B48" s="493"/>
      <c r="C48" s="452"/>
      <c r="D48" s="152" t="s">
        <v>187</v>
      </c>
      <c r="E48" s="152"/>
      <c r="F48" s="152"/>
      <c r="G48" s="152"/>
      <c r="H48" s="153"/>
      <c r="I48" s="908">
        <f>'6A'!K58</f>
        <v>0</v>
      </c>
      <c r="J48" s="2444"/>
      <c r="K48" s="2445"/>
      <c r="L48" s="489"/>
    </row>
    <row r="49" spans="2:12" x14ac:dyDescent="0.25">
      <c r="B49" s="493"/>
      <c r="C49" s="452"/>
      <c r="D49" s="152" t="s">
        <v>188</v>
      </c>
      <c r="E49" s="152"/>
      <c r="F49" s="152"/>
      <c r="G49" s="152"/>
      <c r="H49" s="153"/>
      <c r="I49" s="908">
        <f>'6A'!K59</f>
        <v>0</v>
      </c>
      <c r="J49" s="2444"/>
      <c r="K49" s="2445"/>
      <c r="L49" s="489"/>
    </row>
    <row r="50" spans="2:12" x14ac:dyDescent="0.25">
      <c r="B50" s="493"/>
      <c r="C50" s="452"/>
      <c r="D50" s="152" t="s">
        <v>189</v>
      </c>
      <c r="E50" s="152"/>
      <c r="F50" s="152"/>
      <c r="G50" s="152"/>
      <c r="H50" s="153"/>
      <c r="I50" s="908">
        <f>'6A'!K60</f>
        <v>0</v>
      </c>
      <c r="J50" s="2444"/>
      <c r="K50" s="2445"/>
      <c r="L50" s="489"/>
    </row>
    <row r="51" spans="2:12" x14ac:dyDescent="0.25">
      <c r="B51" s="493"/>
      <c r="C51" s="495"/>
      <c r="D51" s="91" t="s">
        <v>190</v>
      </c>
      <c r="E51" s="91"/>
      <c r="F51" s="91"/>
      <c r="G51" s="91"/>
      <c r="H51" s="91"/>
      <c r="I51" s="908">
        <f>'6A'!K61</f>
        <v>0</v>
      </c>
      <c r="J51" s="2444"/>
      <c r="K51" s="2445"/>
      <c r="L51" s="489"/>
    </row>
    <row r="52" spans="2:12" ht="15.75" thickBot="1" x14ac:dyDescent="0.3">
      <c r="B52" s="493"/>
      <c r="C52" s="452"/>
      <c r="D52" s="152" t="s">
        <v>234</v>
      </c>
      <c r="E52" s="152"/>
      <c r="F52" s="152"/>
      <c r="G52" s="152"/>
      <c r="H52" s="153"/>
      <c r="I52" s="909">
        <f>'6A'!K62</f>
        <v>0</v>
      </c>
      <c r="J52" s="2446"/>
      <c r="K52" s="2447"/>
      <c r="L52" s="489"/>
    </row>
    <row r="53" spans="2:12" ht="3.75" customHeight="1" x14ac:dyDescent="0.25">
      <c r="B53" s="493"/>
      <c r="C53" s="47"/>
      <c r="D53" s="48"/>
      <c r="E53" s="48"/>
      <c r="F53" s="44"/>
      <c r="G53" s="44"/>
      <c r="H53" s="44"/>
      <c r="I53" s="39"/>
      <c r="J53" s="39"/>
      <c r="K53" s="490"/>
      <c r="L53" s="489"/>
    </row>
    <row r="54" spans="2:12" ht="15.75" thickBot="1" x14ac:dyDescent="0.3">
      <c r="B54" s="493"/>
      <c r="C54" s="60" t="s">
        <v>191</v>
      </c>
      <c r="D54" s="61"/>
      <c r="E54" s="61"/>
      <c r="F54" s="62"/>
      <c r="G54" s="62"/>
      <c r="H54" s="62"/>
      <c r="I54" s="39"/>
      <c r="J54" s="39"/>
      <c r="K54" s="452"/>
      <c r="L54" s="489"/>
    </row>
    <row r="55" spans="2:12" x14ac:dyDescent="0.25">
      <c r="B55" s="493"/>
      <c r="C55" s="452"/>
      <c r="D55" s="150" t="s">
        <v>192</v>
      </c>
      <c r="E55" s="150"/>
      <c r="F55" s="150"/>
      <c r="G55" s="150"/>
      <c r="H55" s="151"/>
      <c r="I55" s="907">
        <f>'6A'!K66</f>
        <v>0</v>
      </c>
      <c r="J55" s="2448"/>
      <c r="K55" s="2449"/>
      <c r="L55" s="489"/>
    </row>
    <row r="56" spans="2:12" ht="15.75" thickBot="1" x14ac:dyDescent="0.3">
      <c r="B56" s="493"/>
      <c r="C56" s="452"/>
      <c r="D56" s="152" t="s">
        <v>193</v>
      </c>
      <c r="E56" s="152"/>
      <c r="F56" s="152"/>
      <c r="G56" s="152"/>
      <c r="H56" s="153"/>
      <c r="I56" s="909">
        <f>'6A'!K67</f>
        <v>0</v>
      </c>
      <c r="J56" s="2446"/>
      <c r="K56" s="2447"/>
      <c r="L56" s="489"/>
    </row>
    <row r="57" spans="2:12" ht="9" customHeight="1" thickBot="1" x14ac:dyDescent="0.3">
      <c r="B57" s="496"/>
      <c r="C57" s="57"/>
      <c r="D57" s="58"/>
      <c r="E57" s="58"/>
      <c r="F57" s="57"/>
      <c r="G57" s="57"/>
      <c r="H57" s="57"/>
      <c r="I57" s="41"/>
      <c r="J57" s="41"/>
      <c r="K57" s="497"/>
      <c r="L57" s="498"/>
    </row>
    <row r="58" spans="2:12" ht="15.75" thickBot="1" x14ac:dyDescent="0.3">
      <c r="B58" s="493"/>
      <c r="C58" s="60" t="s">
        <v>194</v>
      </c>
      <c r="D58" s="61"/>
      <c r="E58" s="61"/>
      <c r="F58" s="62"/>
      <c r="G58" s="62"/>
      <c r="H58" s="62"/>
      <c r="I58" s="39"/>
      <c r="J58" s="39"/>
      <c r="K58" s="452"/>
      <c r="L58" s="489"/>
    </row>
    <row r="59" spans="2:12" x14ac:dyDescent="0.25">
      <c r="B59" s="493"/>
      <c r="C59" s="452"/>
      <c r="D59" s="150" t="s">
        <v>195</v>
      </c>
      <c r="E59" s="150"/>
      <c r="F59" s="150"/>
      <c r="G59" s="150"/>
      <c r="H59" s="151"/>
      <c r="I59" s="907">
        <f>'6A'!K71</f>
        <v>0</v>
      </c>
      <c r="J59" s="2448"/>
      <c r="K59" s="2449"/>
      <c r="L59" s="499"/>
    </row>
    <row r="60" spans="2:12" x14ac:dyDescent="0.25">
      <c r="B60" s="493"/>
      <c r="C60" s="452"/>
      <c r="D60" s="152" t="s">
        <v>196</v>
      </c>
      <c r="E60" s="152"/>
      <c r="F60" s="152"/>
      <c r="G60" s="152"/>
      <c r="H60" s="153"/>
      <c r="I60" s="908">
        <f>'6A'!K72</f>
        <v>0</v>
      </c>
      <c r="J60" s="2444"/>
      <c r="K60" s="2445"/>
      <c r="L60" s="489"/>
    </row>
    <row r="61" spans="2:12" x14ac:dyDescent="0.25">
      <c r="B61" s="493"/>
      <c r="C61" s="452"/>
      <c r="D61" s="152" t="s">
        <v>197</v>
      </c>
      <c r="E61" s="152"/>
      <c r="F61" s="152"/>
      <c r="G61" s="152"/>
      <c r="H61" s="153"/>
      <c r="I61" s="908">
        <f>'6A'!K73</f>
        <v>0</v>
      </c>
      <c r="J61" s="2444"/>
      <c r="K61" s="2445"/>
      <c r="L61" s="489"/>
    </row>
    <row r="62" spans="2:12" x14ac:dyDescent="0.25">
      <c r="B62" s="493"/>
      <c r="C62" s="452"/>
      <c r="D62" s="152" t="s">
        <v>198</v>
      </c>
      <c r="E62" s="152"/>
      <c r="F62" s="152"/>
      <c r="G62" s="152"/>
      <c r="H62" s="153"/>
      <c r="I62" s="908">
        <f>'6A'!K74</f>
        <v>0</v>
      </c>
      <c r="J62" s="2444"/>
      <c r="K62" s="2445"/>
      <c r="L62" s="489"/>
    </row>
    <row r="63" spans="2:12" ht="15.75" thickBot="1" x14ac:dyDescent="0.3">
      <c r="B63" s="493"/>
      <c r="C63" s="452"/>
      <c r="D63" s="152" t="s">
        <v>199</v>
      </c>
      <c r="E63" s="152"/>
      <c r="F63" s="152"/>
      <c r="G63" s="152"/>
      <c r="H63" s="153"/>
      <c r="I63" s="909">
        <f>'6A'!K75</f>
        <v>0</v>
      </c>
      <c r="J63" s="2446"/>
      <c r="K63" s="2447"/>
      <c r="L63" s="489"/>
    </row>
    <row r="64" spans="2:12" ht="4.5" customHeight="1" x14ac:dyDescent="0.25">
      <c r="B64" s="493"/>
      <c r="C64" s="44"/>
      <c r="D64" s="48"/>
      <c r="E64" s="48"/>
      <c r="F64" s="44"/>
      <c r="G64" s="44"/>
      <c r="H64" s="44"/>
      <c r="I64" s="39"/>
      <c r="J64" s="39"/>
      <c r="K64" s="490"/>
      <c r="L64" s="489"/>
    </row>
    <row r="65" spans="2:12" ht="15.75" thickBot="1" x14ac:dyDescent="0.3">
      <c r="B65" s="493"/>
      <c r="C65" s="60" t="s">
        <v>200</v>
      </c>
      <c r="D65" s="61"/>
      <c r="E65" s="61"/>
      <c r="F65" s="62"/>
      <c r="G65" s="62"/>
      <c r="H65" s="62"/>
      <c r="I65" s="39"/>
      <c r="J65" s="39"/>
      <c r="K65" s="452"/>
      <c r="L65" s="489"/>
    </row>
    <row r="66" spans="2:12" x14ac:dyDescent="0.25">
      <c r="B66" s="493"/>
      <c r="C66" s="452"/>
      <c r="D66" s="150" t="s">
        <v>201</v>
      </c>
      <c r="E66" s="150"/>
      <c r="F66" s="150"/>
      <c r="G66" s="150"/>
      <c r="H66" s="151"/>
      <c r="I66" s="907">
        <f>'6A'!K79</f>
        <v>0</v>
      </c>
      <c r="J66" s="2448"/>
      <c r="K66" s="2449"/>
      <c r="L66" s="489"/>
    </row>
    <row r="67" spans="2:12" x14ac:dyDescent="0.25">
      <c r="B67" s="493"/>
      <c r="C67" s="452"/>
      <c r="D67" s="152" t="s">
        <v>202</v>
      </c>
      <c r="E67" s="152"/>
      <c r="F67" s="152"/>
      <c r="G67" s="152"/>
      <c r="H67" s="153"/>
      <c r="I67" s="908">
        <f>'6A'!K80</f>
        <v>0</v>
      </c>
      <c r="J67" s="2444"/>
      <c r="K67" s="2445"/>
      <c r="L67" s="489"/>
    </row>
    <row r="68" spans="2:12" x14ac:dyDescent="0.25">
      <c r="B68" s="493"/>
      <c r="C68" s="452"/>
      <c r="D68" s="152" t="s">
        <v>203</v>
      </c>
      <c r="E68" s="152"/>
      <c r="F68" s="152"/>
      <c r="G68" s="152"/>
      <c r="H68" s="153"/>
      <c r="I68" s="908">
        <f>'6A'!K81</f>
        <v>0</v>
      </c>
      <c r="J68" s="2444"/>
      <c r="K68" s="2445"/>
      <c r="L68" s="489"/>
    </row>
    <row r="69" spans="2:12" x14ac:dyDescent="0.25">
      <c r="B69" s="493"/>
      <c r="C69" s="452"/>
      <c r="D69" s="152" t="s">
        <v>204</v>
      </c>
      <c r="E69" s="152"/>
      <c r="F69" s="152"/>
      <c r="G69" s="152"/>
      <c r="H69" s="153"/>
      <c r="I69" s="908">
        <f>'6A'!K82</f>
        <v>0</v>
      </c>
      <c r="J69" s="2444"/>
      <c r="K69" s="2445"/>
      <c r="L69" s="489"/>
    </row>
    <row r="70" spans="2:12" x14ac:dyDescent="0.25">
      <c r="B70" s="493"/>
      <c r="C70" s="452"/>
      <c r="D70" s="152" t="s">
        <v>205</v>
      </c>
      <c r="E70" s="152"/>
      <c r="F70" s="152"/>
      <c r="G70" s="152"/>
      <c r="H70" s="153"/>
      <c r="I70" s="908">
        <f>'6A'!K83</f>
        <v>0</v>
      </c>
      <c r="J70" s="2444"/>
      <c r="K70" s="2445"/>
      <c r="L70" s="489"/>
    </row>
    <row r="71" spans="2:12" x14ac:dyDescent="0.25">
      <c r="B71" s="493"/>
      <c r="C71" s="452"/>
      <c r="D71" s="152" t="s">
        <v>206</v>
      </c>
      <c r="E71" s="152"/>
      <c r="F71" s="152"/>
      <c r="G71" s="152"/>
      <c r="H71" s="153"/>
      <c r="I71" s="908">
        <f>'6A'!K84</f>
        <v>0</v>
      </c>
      <c r="J71" s="2444"/>
      <c r="K71" s="2445"/>
      <c r="L71" s="489"/>
    </row>
    <row r="72" spans="2:12" x14ac:dyDescent="0.25">
      <c r="B72" s="493"/>
      <c r="C72" s="452"/>
      <c r="D72" s="152" t="s">
        <v>207</v>
      </c>
      <c r="E72" s="152"/>
      <c r="F72" s="152"/>
      <c r="G72" s="152"/>
      <c r="H72" s="153"/>
      <c r="I72" s="908">
        <f>'6A'!K85</f>
        <v>0</v>
      </c>
      <c r="J72" s="2444"/>
      <c r="K72" s="2445"/>
      <c r="L72" s="489"/>
    </row>
    <row r="73" spans="2:12" ht="15.75" thickBot="1" x14ac:dyDescent="0.3">
      <c r="B73" s="493"/>
      <c r="C73" s="452"/>
      <c r="D73" s="152" t="s">
        <v>234</v>
      </c>
      <c r="E73" s="152"/>
      <c r="F73" s="152"/>
      <c r="G73" s="152"/>
      <c r="H73" s="153"/>
      <c r="I73" s="909">
        <f>'6A'!K86</f>
        <v>0</v>
      </c>
      <c r="J73" s="2446"/>
      <c r="K73" s="2447"/>
      <c r="L73" s="489"/>
    </row>
    <row r="74" spans="2:12" ht="3.75" customHeight="1" x14ac:dyDescent="0.25">
      <c r="B74" s="493"/>
      <c r="C74" s="47"/>
      <c r="D74" s="48"/>
      <c r="E74" s="48"/>
      <c r="F74" s="44"/>
      <c r="G74" s="44"/>
      <c r="H74" s="44"/>
      <c r="I74" s="39"/>
      <c r="J74" s="39"/>
      <c r="K74" s="490"/>
      <c r="L74" s="489"/>
    </row>
    <row r="75" spans="2:12" ht="15.75" thickBot="1" x14ac:dyDescent="0.3">
      <c r="B75" s="493"/>
      <c r="C75" s="60" t="s">
        <v>208</v>
      </c>
      <c r="D75" s="61"/>
      <c r="E75" s="61"/>
      <c r="F75" s="62"/>
      <c r="G75" s="62"/>
      <c r="H75" s="62"/>
      <c r="I75" s="42"/>
      <c r="J75" s="162"/>
      <c r="K75" s="406"/>
      <c r="L75" s="489"/>
    </row>
    <row r="76" spans="2:12" x14ac:dyDescent="0.25">
      <c r="B76" s="493"/>
      <c r="C76" s="452"/>
      <c r="D76" s="150" t="s">
        <v>209</v>
      </c>
      <c r="E76" s="150"/>
      <c r="F76" s="150"/>
      <c r="G76" s="150"/>
      <c r="H76" s="151"/>
      <c r="I76" s="907">
        <f>'6A'!K90</f>
        <v>0</v>
      </c>
      <c r="J76" s="2448"/>
      <c r="K76" s="2449"/>
      <c r="L76" s="489"/>
    </row>
    <row r="77" spans="2:12" x14ac:dyDescent="0.25">
      <c r="B77" s="493"/>
      <c r="C77" s="452"/>
      <c r="D77" s="152" t="s">
        <v>210</v>
      </c>
      <c r="E77" s="152"/>
      <c r="F77" s="152"/>
      <c r="G77" s="152"/>
      <c r="H77" s="153"/>
      <c r="I77" s="908">
        <f>'6A'!K91</f>
        <v>0</v>
      </c>
      <c r="J77" s="2444"/>
      <c r="K77" s="2445"/>
      <c r="L77" s="489"/>
    </row>
    <row r="78" spans="2:12" ht="15.75" thickBot="1" x14ac:dyDescent="0.3">
      <c r="B78" s="493"/>
      <c r="C78" s="452"/>
      <c r="D78" s="152" t="s">
        <v>236</v>
      </c>
      <c r="E78" s="152"/>
      <c r="F78" s="152"/>
      <c r="G78" s="152"/>
      <c r="H78" s="153"/>
      <c r="I78" s="909">
        <f>'6A'!K92</f>
        <v>0</v>
      </c>
      <c r="J78" s="2446"/>
      <c r="K78" s="2447"/>
      <c r="L78" s="489"/>
    </row>
    <row r="79" spans="2:12" ht="3.75" customHeight="1" x14ac:dyDescent="0.25">
      <c r="B79" s="493"/>
      <c r="C79" s="47"/>
      <c r="D79" s="48"/>
      <c r="E79" s="48"/>
      <c r="F79" s="44"/>
      <c r="G79" s="44"/>
      <c r="H79" s="44"/>
      <c r="I79" s="39"/>
      <c r="J79" s="39"/>
      <c r="K79" s="490"/>
      <c r="L79" s="489"/>
    </row>
    <row r="80" spans="2:12" ht="15.75" thickBot="1" x14ac:dyDescent="0.3">
      <c r="B80" s="493"/>
      <c r="C80" s="60" t="s">
        <v>211</v>
      </c>
      <c r="D80" s="61"/>
      <c r="E80" s="61"/>
      <c r="F80" s="62"/>
      <c r="G80" s="62"/>
      <c r="H80" s="62"/>
      <c r="I80" s="42"/>
      <c r="J80" s="162"/>
      <c r="K80" s="406"/>
      <c r="L80" s="489"/>
    </row>
    <row r="81" spans="2:12" x14ac:dyDescent="0.25">
      <c r="B81" s="493"/>
      <c r="C81" s="452"/>
      <c r="D81" s="150" t="s">
        <v>212</v>
      </c>
      <c r="E81" s="150"/>
      <c r="F81" s="150"/>
      <c r="G81" s="150"/>
      <c r="H81" s="151"/>
      <c r="I81" s="907">
        <f>'6A'!K96</f>
        <v>0</v>
      </c>
      <c r="J81" s="2448"/>
      <c r="K81" s="2449"/>
      <c r="L81" s="489"/>
    </row>
    <row r="82" spans="2:12" x14ac:dyDescent="0.25">
      <c r="B82" s="493"/>
      <c r="C82" s="452"/>
      <c r="D82" s="152" t="s">
        <v>213</v>
      </c>
      <c r="E82" s="152"/>
      <c r="F82" s="152"/>
      <c r="G82" s="152"/>
      <c r="H82" s="153"/>
      <c r="I82" s="908">
        <f>'6A'!K97</f>
        <v>0</v>
      </c>
      <c r="J82" s="2444"/>
      <c r="K82" s="2445"/>
      <c r="L82" s="489"/>
    </row>
    <row r="83" spans="2:12" x14ac:dyDescent="0.25">
      <c r="B83" s="493"/>
      <c r="C83" s="452"/>
      <c r="D83" s="152" t="s">
        <v>110</v>
      </c>
      <c r="E83" s="152"/>
      <c r="F83" s="152"/>
      <c r="G83" s="152"/>
      <c r="H83" s="153"/>
      <c r="I83" s="908">
        <f>'6A'!K98</f>
        <v>0</v>
      </c>
      <c r="J83" s="2444"/>
      <c r="K83" s="2445"/>
      <c r="L83" s="489"/>
    </row>
    <row r="84" spans="2:12" x14ac:dyDescent="0.25">
      <c r="B84" s="493"/>
      <c r="C84" s="452"/>
      <c r="D84" s="152" t="s">
        <v>214</v>
      </c>
      <c r="E84" s="152"/>
      <c r="F84" s="152"/>
      <c r="G84" s="152"/>
      <c r="H84" s="153"/>
      <c r="I84" s="908">
        <f>'6A'!K99</f>
        <v>0</v>
      </c>
      <c r="J84" s="2444"/>
      <c r="K84" s="2445"/>
      <c r="L84" s="489"/>
    </row>
    <row r="85" spans="2:12" x14ac:dyDescent="0.25">
      <c r="B85" s="493"/>
      <c r="C85" s="452"/>
      <c r="D85" s="152" t="s">
        <v>215</v>
      </c>
      <c r="E85" s="152"/>
      <c r="F85" s="152"/>
      <c r="G85" s="152"/>
      <c r="H85" s="153"/>
      <c r="I85" s="908">
        <f>'6A'!K100</f>
        <v>0</v>
      </c>
      <c r="J85" s="2444"/>
      <c r="K85" s="2445"/>
      <c r="L85" s="489"/>
    </row>
    <row r="86" spans="2:12" x14ac:dyDescent="0.25">
      <c r="B86" s="493"/>
      <c r="C86" s="452"/>
      <c r="D86" s="152" t="s">
        <v>216</v>
      </c>
      <c r="E86" s="152"/>
      <c r="F86" s="152"/>
      <c r="G86" s="152"/>
      <c r="H86" s="153"/>
      <c r="I86" s="908">
        <f>'6A'!K101</f>
        <v>0</v>
      </c>
      <c r="J86" s="2444"/>
      <c r="K86" s="2445"/>
      <c r="L86" s="489"/>
    </row>
    <row r="87" spans="2:12" x14ac:dyDescent="0.25">
      <c r="B87" s="493"/>
      <c r="C87" s="452"/>
      <c r="D87" s="152" t="s">
        <v>217</v>
      </c>
      <c r="E87" s="152"/>
      <c r="F87" s="152"/>
      <c r="G87" s="152"/>
      <c r="H87" s="153"/>
      <c r="I87" s="908">
        <f>'6A'!K102</f>
        <v>0</v>
      </c>
      <c r="J87" s="2444"/>
      <c r="K87" s="2445"/>
      <c r="L87" s="489"/>
    </row>
    <row r="88" spans="2:12" x14ac:dyDescent="0.25">
      <c r="B88" s="493"/>
      <c r="C88" s="452"/>
      <c r="D88" s="152" t="s">
        <v>218</v>
      </c>
      <c r="E88" s="152"/>
      <c r="F88" s="152"/>
      <c r="G88" s="152"/>
      <c r="H88" s="153"/>
      <c r="I88" s="908">
        <f>'6A'!K103</f>
        <v>0</v>
      </c>
      <c r="J88" s="2444"/>
      <c r="K88" s="2445"/>
      <c r="L88" s="489"/>
    </row>
    <row r="89" spans="2:12" x14ac:dyDescent="0.25">
      <c r="B89" s="493"/>
      <c r="C89" s="452"/>
      <c r="D89" s="152" t="s">
        <v>219</v>
      </c>
      <c r="E89" s="152"/>
      <c r="F89" s="152"/>
      <c r="G89" s="152"/>
      <c r="H89" s="153"/>
      <c r="I89" s="908">
        <f>'6A'!K104</f>
        <v>0</v>
      </c>
      <c r="J89" s="2444"/>
      <c r="K89" s="2445"/>
      <c r="L89" s="489"/>
    </row>
    <row r="90" spans="2:12" x14ac:dyDescent="0.25">
      <c r="B90" s="493"/>
      <c r="C90" s="452"/>
      <c r="D90" s="152" t="s">
        <v>220</v>
      </c>
      <c r="E90" s="152"/>
      <c r="F90" s="152"/>
      <c r="G90" s="152"/>
      <c r="H90" s="153"/>
      <c r="I90" s="908">
        <f>'6A'!K105</f>
        <v>0</v>
      </c>
      <c r="J90" s="2444"/>
      <c r="K90" s="2445"/>
      <c r="L90" s="489"/>
    </row>
    <row r="91" spans="2:12" ht="15.75" thickBot="1" x14ac:dyDescent="0.3">
      <c r="B91" s="493"/>
      <c r="C91" s="452"/>
      <c r="D91" s="152" t="s">
        <v>221</v>
      </c>
      <c r="E91" s="152"/>
      <c r="F91" s="152"/>
      <c r="G91" s="152"/>
      <c r="H91" s="153"/>
      <c r="I91" s="909">
        <f>'6A'!K106</f>
        <v>0</v>
      </c>
      <c r="J91" s="2446"/>
      <c r="K91" s="2447"/>
      <c r="L91" s="489"/>
    </row>
    <row r="92" spans="2:12" ht="3.75" customHeight="1" x14ac:dyDescent="0.25">
      <c r="B92" s="493"/>
      <c r="C92" s="47"/>
      <c r="D92" s="48"/>
      <c r="E92" s="48"/>
      <c r="F92" s="44"/>
      <c r="G92" s="44"/>
      <c r="H92" s="44"/>
      <c r="I92" s="39"/>
      <c r="J92" s="39"/>
      <c r="K92" s="406"/>
      <c r="L92" s="489"/>
    </row>
    <row r="93" spans="2:12" ht="15.75" thickBot="1" x14ac:dyDescent="0.3">
      <c r="B93" s="493"/>
      <c r="C93" s="60" t="s">
        <v>222</v>
      </c>
      <c r="D93" s="61"/>
      <c r="E93" s="61"/>
      <c r="F93" s="62"/>
      <c r="G93" s="62"/>
      <c r="H93" s="62"/>
      <c r="I93" s="39"/>
      <c r="J93" s="39"/>
      <c r="K93" s="494"/>
      <c r="L93" s="500"/>
    </row>
    <row r="94" spans="2:12" x14ac:dyDescent="0.25">
      <c r="B94" s="493"/>
      <c r="C94" s="501"/>
      <c r="D94" s="150" t="s">
        <v>223</v>
      </c>
      <c r="E94" s="150"/>
      <c r="F94" s="150"/>
      <c r="G94" s="150"/>
      <c r="H94" s="151"/>
      <c r="I94" s="907">
        <f>'6A'!K111</f>
        <v>0</v>
      </c>
      <c r="J94" s="2448"/>
      <c r="K94" s="2449"/>
      <c r="L94" s="500"/>
    </row>
    <row r="95" spans="2:12" x14ac:dyDescent="0.25">
      <c r="B95" s="493"/>
      <c r="C95" s="501"/>
      <c r="D95" s="152" t="s">
        <v>224</v>
      </c>
      <c r="E95" s="152"/>
      <c r="F95" s="152"/>
      <c r="G95" s="152"/>
      <c r="H95" s="153"/>
      <c r="I95" s="908">
        <f>'6A'!K112</f>
        <v>0</v>
      </c>
      <c r="J95" s="2444"/>
      <c r="K95" s="2445"/>
      <c r="L95" s="500"/>
    </row>
    <row r="96" spans="2:12" x14ac:dyDescent="0.25">
      <c r="B96" s="493"/>
      <c r="C96" s="452"/>
      <c r="D96" s="152" t="s">
        <v>225</v>
      </c>
      <c r="E96" s="152"/>
      <c r="F96" s="152"/>
      <c r="G96" s="152"/>
      <c r="H96" s="153"/>
      <c r="I96" s="908">
        <f>'6A'!K113</f>
        <v>0</v>
      </c>
      <c r="J96" s="2444"/>
      <c r="K96" s="2445"/>
      <c r="L96" s="489"/>
    </row>
    <row r="97" spans="2:12" x14ac:dyDescent="0.25">
      <c r="B97" s="493"/>
      <c r="C97" s="452"/>
      <c r="D97" s="152" t="s">
        <v>226</v>
      </c>
      <c r="E97" s="152"/>
      <c r="F97" s="152"/>
      <c r="G97" s="152"/>
      <c r="H97" s="153"/>
      <c r="I97" s="908">
        <f>'6A'!K114</f>
        <v>0</v>
      </c>
      <c r="J97" s="2444"/>
      <c r="K97" s="2445"/>
      <c r="L97" s="489"/>
    </row>
    <row r="98" spans="2:12" x14ac:dyDescent="0.25">
      <c r="B98" s="493"/>
      <c r="C98" s="452"/>
      <c r="D98" s="152" t="s">
        <v>227</v>
      </c>
      <c r="E98" s="152"/>
      <c r="F98" s="152"/>
      <c r="G98" s="152"/>
      <c r="H98" s="153"/>
      <c r="I98" s="908">
        <f>'6A'!K115</f>
        <v>0</v>
      </c>
      <c r="J98" s="2444"/>
      <c r="K98" s="2445"/>
      <c r="L98" s="489"/>
    </row>
    <row r="99" spans="2:12" x14ac:dyDescent="0.25">
      <c r="B99" s="493"/>
      <c r="C99" s="452"/>
      <c r="D99" s="152" t="s">
        <v>228</v>
      </c>
      <c r="E99" s="152"/>
      <c r="F99" s="152"/>
      <c r="G99" s="152"/>
      <c r="H99" s="153"/>
      <c r="I99" s="908">
        <f>'6A'!K116</f>
        <v>0</v>
      </c>
      <c r="J99" s="2444"/>
      <c r="K99" s="2445"/>
      <c r="L99" s="489"/>
    </row>
    <row r="100" spans="2:12" ht="15.75" thickBot="1" x14ac:dyDescent="0.3">
      <c r="B100" s="493"/>
      <c r="C100" s="452"/>
      <c r="D100" s="152" t="s">
        <v>229</v>
      </c>
      <c r="E100" s="152"/>
      <c r="F100" s="152"/>
      <c r="G100" s="152"/>
      <c r="H100" s="153"/>
      <c r="I100" s="909">
        <f>'6A'!K117</f>
        <v>0</v>
      </c>
      <c r="J100" s="2446"/>
      <c r="K100" s="2447"/>
      <c r="L100" s="489"/>
    </row>
    <row r="101" spans="2:12" ht="15.75" thickBot="1" x14ac:dyDescent="0.3">
      <c r="B101" s="496"/>
      <c r="C101" s="37"/>
      <c r="D101" s="502"/>
      <c r="E101" s="502"/>
      <c r="F101" s="37"/>
      <c r="G101" s="37"/>
      <c r="H101" s="37"/>
      <c r="I101" s="38"/>
      <c r="J101" s="38"/>
      <c r="K101" s="497"/>
      <c r="L101" s="498"/>
    </row>
    <row r="102" spans="2:12" x14ac:dyDescent="0.25">
      <c r="I102" s="484"/>
    </row>
  </sheetData>
  <sheetProtection algorithmName="SHA-512" hashValue="HwYdgOs1drzuixlo7+NbOo3zI0EZvk1fPS1Vn+D4ahclwx9iqn7Pju3ZFpbmx2ITrvKcLCBgUEJepQIpsOLJJA==" saltValue="/R/y9vsnGNclgEMd17jSVQ==" spinCount="100000" sheet="1" formatCells="0" formatColumns="0" formatRows="0"/>
  <mergeCells count="75">
    <mergeCell ref="C9:K9"/>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s>
  <pageMargins left="0.25" right="0.25" top="0.75" bottom="0.75" header="0.3" footer="0.3"/>
  <pageSetup scale="87" fitToHeight="2" orientation="portrait" r:id="rId1"/>
  <headerFooter>
    <oddFooter>&amp;LForm 6B
Development Budget Details&amp;CCFA Forms</oddFooter>
  </headerFooter>
  <rowBreaks count="1" manualBreakCount="1">
    <brk id="57" min="1"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9:L120"/>
  <sheetViews>
    <sheetView showGridLines="0" zoomScaleNormal="100" workbookViewId="0">
      <selection activeCell="J95" sqref="J95"/>
    </sheetView>
  </sheetViews>
  <sheetFormatPr defaultColWidth="9.140625" defaultRowHeight="15" x14ac:dyDescent="0.25"/>
  <cols>
    <col min="1" max="2" width="1.7109375" style="395" customWidth="1"/>
    <col min="3" max="3" width="2.85546875" style="395" customWidth="1"/>
    <col min="4" max="4" width="5.7109375" style="395" customWidth="1"/>
    <col min="5" max="5" width="8.5703125" style="395" customWidth="1"/>
    <col min="6" max="6" width="12.85546875" style="395" customWidth="1"/>
    <col min="7" max="7" width="10.7109375" style="395" customWidth="1"/>
    <col min="8" max="8" width="0.7109375" style="395" customWidth="1"/>
    <col min="9" max="9" width="20" style="395" customWidth="1"/>
    <col min="10" max="10" width="11.42578125" style="395" customWidth="1"/>
    <col min="11" max="11" width="12.140625" style="395" customWidth="1"/>
    <col min="12" max="12" width="1.7109375" style="395" customWidth="1"/>
    <col min="13" max="16384" width="9.140625" style="395"/>
  </cols>
  <sheetData>
    <row r="9" spans="2:12" ht="15.75" thickBot="1" x14ac:dyDescent="0.3"/>
    <row r="10" spans="2:12" x14ac:dyDescent="0.25">
      <c r="B10" s="503"/>
      <c r="C10" s="504"/>
      <c r="D10" s="504"/>
      <c r="E10" s="504"/>
      <c r="F10" s="504"/>
      <c r="G10" s="504"/>
      <c r="H10" s="504"/>
      <c r="I10" s="504"/>
      <c r="J10" s="504"/>
      <c r="K10" s="504"/>
      <c r="L10" s="505"/>
    </row>
    <row r="11" spans="2:12" ht="18.75" x14ac:dyDescent="0.3">
      <c r="B11" s="506"/>
      <c r="C11" s="2411" t="s">
        <v>237</v>
      </c>
      <c r="D11" s="2411"/>
      <c r="E11" s="2411"/>
      <c r="F11" s="2411"/>
      <c r="G11" s="2411"/>
      <c r="H11" s="2411"/>
      <c r="I11" s="2411"/>
      <c r="J11" s="2411"/>
      <c r="K11" s="2411"/>
      <c r="L11" s="507"/>
    </row>
    <row r="12" spans="2:12" x14ac:dyDescent="0.25">
      <c r="B12" s="506"/>
      <c r="C12" s="406"/>
      <c r="D12" s="406"/>
      <c r="E12" s="406"/>
      <c r="F12" s="406"/>
      <c r="G12" s="406"/>
      <c r="H12" s="406"/>
      <c r="I12" s="406"/>
      <c r="J12" s="406"/>
      <c r="K12" s="406"/>
      <c r="L12" s="507"/>
    </row>
    <row r="13" spans="2:12" ht="15.75" thickBot="1" x14ac:dyDescent="0.3">
      <c r="B13" s="506"/>
      <c r="C13" s="2439" t="str">
        <f>IF('1'!G5="","Enter Project Name on Form 1",(CONCATENATE("Project Name: ",'1'!G5)))</f>
        <v>Enter Project Name on Form 1</v>
      </c>
      <c r="D13" s="2439"/>
      <c r="E13" s="2439"/>
      <c r="F13" s="2439"/>
      <c r="G13" s="2439"/>
      <c r="H13" s="2439"/>
      <c r="I13" s="2439"/>
      <c r="J13" s="2439"/>
      <c r="K13" s="2439"/>
      <c r="L13" s="507"/>
    </row>
    <row r="14" spans="2:12" ht="15.75" thickBot="1" x14ac:dyDescent="0.3">
      <c r="B14" s="142"/>
      <c r="C14" s="406"/>
      <c r="D14" s="63"/>
      <c r="E14" s="63"/>
      <c r="F14" s="63"/>
      <c r="G14" s="63"/>
      <c r="H14" s="63"/>
      <c r="I14" s="63"/>
      <c r="J14" s="63"/>
      <c r="K14" s="406"/>
      <c r="L14" s="507"/>
    </row>
    <row r="15" spans="2:12" x14ac:dyDescent="0.25">
      <c r="B15" s="142"/>
      <c r="C15" s="68"/>
      <c r="D15" s="68"/>
      <c r="E15" s="68"/>
      <c r="F15" s="68"/>
      <c r="G15" s="68"/>
      <c r="H15" s="68"/>
      <c r="I15" s="2424" t="s">
        <v>152</v>
      </c>
      <c r="J15" s="2425"/>
      <c r="K15" s="2459"/>
      <c r="L15" s="507"/>
    </row>
    <row r="16" spans="2:12" x14ac:dyDescent="0.25">
      <c r="B16" s="142"/>
      <c r="C16" s="68"/>
      <c r="D16" s="68"/>
      <c r="E16" s="68"/>
      <c r="F16" s="68"/>
      <c r="G16" s="68"/>
      <c r="H16" s="68"/>
      <c r="I16" s="2465" t="s">
        <v>238</v>
      </c>
      <c r="J16" s="2460" t="s">
        <v>239</v>
      </c>
      <c r="K16" s="2461"/>
      <c r="L16" s="507"/>
    </row>
    <row r="17" spans="2:12" x14ac:dyDescent="0.25">
      <c r="B17" s="142"/>
      <c r="C17" s="69"/>
      <c r="D17" s="45"/>
      <c r="E17" s="45"/>
      <c r="F17" s="70"/>
      <c r="G17" s="70"/>
      <c r="H17" s="70"/>
      <c r="I17" s="2465"/>
      <c r="J17" s="2462" t="s">
        <v>22</v>
      </c>
      <c r="K17" s="2467" t="s">
        <v>507</v>
      </c>
      <c r="L17" s="507"/>
    </row>
    <row r="18" spans="2:12" x14ac:dyDescent="0.25">
      <c r="B18" s="142"/>
      <c r="C18" s="45"/>
      <c r="D18" s="71"/>
      <c r="E18" s="71"/>
      <c r="F18" s="72"/>
      <c r="G18" s="72"/>
      <c r="H18" s="72"/>
      <c r="I18" s="2465"/>
      <c r="J18" s="2463"/>
      <c r="K18" s="2468"/>
      <c r="L18" s="507"/>
    </row>
    <row r="19" spans="2:12" ht="15.75" thickBot="1" x14ac:dyDescent="0.3">
      <c r="B19" s="142"/>
      <c r="C19" s="45"/>
      <c r="D19" s="71"/>
      <c r="E19" s="71"/>
      <c r="F19" s="72"/>
      <c r="G19" s="72"/>
      <c r="H19" s="72"/>
      <c r="I19" s="2466"/>
      <c r="J19" s="2464"/>
      <c r="K19" s="2469"/>
      <c r="L19" s="507"/>
    </row>
    <row r="20" spans="2:12" ht="15.75" thickBot="1" x14ac:dyDescent="0.3">
      <c r="B20" s="142"/>
      <c r="C20" s="60" t="s">
        <v>155</v>
      </c>
      <c r="D20" s="61"/>
      <c r="E20" s="61"/>
      <c r="F20" s="62"/>
      <c r="G20" s="62"/>
      <c r="H20" s="62"/>
      <c r="I20" s="84"/>
      <c r="J20" s="64"/>
      <c r="K20" s="406"/>
      <c r="L20" s="507"/>
    </row>
    <row r="21" spans="2:12" x14ac:dyDescent="0.25">
      <c r="B21" s="142"/>
      <c r="C21" s="406"/>
      <c r="D21" s="91" t="s">
        <v>156</v>
      </c>
      <c r="E21" s="44"/>
      <c r="F21" s="45"/>
      <c r="G21" s="45"/>
      <c r="H21" s="45"/>
      <c r="I21" s="929">
        <f>'6A'!K22</f>
        <v>0</v>
      </c>
      <c r="J21" s="101"/>
      <c r="K21" s="102"/>
      <c r="L21" s="507"/>
    </row>
    <row r="22" spans="2:12" x14ac:dyDescent="0.25">
      <c r="B22" s="142"/>
      <c r="C22" s="406"/>
      <c r="D22" s="91" t="s">
        <v>157</v>
      </c>
      <c r="E22" s="44"/>
      <c r="F22" s="45"/>
      <c r="G22" s="45"/>
      <c r="H22" s="45"/>
      <c r="I22" s="927">
        <f>'6A'!K23</f>
        <v>0</v>
      </c>
      <c r="J22" s="910"/>
      <c r="K22" s="103"/>
      <c r="L22" s="507"/>
    </row>
    <row r="23" spans="2:12" x14ac:dyDescent="0.25">
      <c r="B23" s="142"/>
      <c r="C23" s="406"/>
      <c r="D23" s="90" t="s">
        <v>158</v>
      </c>
      <c r="E23" s="44"/>
      <c r="F23" s="46"/>
      <c r="G23" s="46"/>
      <c r="H23" s="46"/>
      <c r="I23" s="911">
        <f>'6A'!K24</f>
        <v>0</v>
      </c>
      <c r="J23" s="912"/>
      <c r="K23" s="103"/>
      <c r="L23" s="507"/>
    </row>
    <row r="24" spans="2:12" x14ac:dyDescent="0.25">
      <c r="B24" s="142"/>
      <c r="C24" s="406"/>
      <c r="D24" s="90" t="s">
        <v>159</v>
      </c>
      <c r="E24" s="44"/>
      <c r="F24" s="46"/>
      <c r="G24" s="46"/>
      <c r="H24" s="46"/>
      <c r="I24" s="911">
        <f>'6A'!K25</f>
        <v>0</v>
      </c>
      <c r="J24" s="912"/>
      <c r="K24" s="103"/>
      <c r="L24" s="507"/>
    </row>
    <row r="25" spans="2:12" x14ac:dyDescent="0.25">
      <c r="B25" s="142"/>
      <c r="C25" s="406"/>
      <c r="D25" s="83" t="s">
        <v>160</v>
      </c>
      <c r="E25" s="44"/>
      <c r="F25" s="46"/>
      <c r="G25" s="46"/>
      <c r="H25" s="46"/>
      <c r="I25" s="911">
        <f>'6A'!K26</f>
        <v>0</v>
      </c>
      <c r="J25" s="912"/>
      <c r="K25" s="103"/>
      <c r="L25" s="507"/>
    </row>
    <row r="26" spans="2:12" x14ac:dyDescent="0.25">
      <c r="B26" s="142"/>
      <c r="C26" s="406"/>
      <c r="D26" s="50" t="s">
        <v>428</v>
      </c>
      <c r="E26" s="2456">
        <f>(IF(AND(I26&lt;&gt;0,'6A'!E27=""),"Enter Item on Form 6A",'6A'!E27))</f>
        <v>0</v>
      </c>
      <c r="F26" s="2457"/>
      <c r="G26" s="2458"/>
      <c r="H26" s="508"/>
      <c r="I26" s="913">
        <f>'6A'!K27</f>
        <v>0</v>
      </c>
      <c r="J26" s="914"/>
      <c r="K26" s="114"/>
      <c r="L26" s="507"/>
    </row>
    <row r="27" spans="2:12" ht="15.75" thickBot="1" x14ac:dyDescent="0.3">
      <c r="B27" s="142"/>
      <c r="C27" s="45"/>
      <c r="D27" s="44"/>
      <c r="E27" s="44"/>
      <c r="F27" s="406"/>
      <c r="G27" s="48" t="s">
        <v>161</v>
      </c>
      <c r="H27" s="89"/>
      <c r="I27" s="113">
        <f>SUM(I21:I26)</f>
        <v>0</v>
      </c>
      <c r="J27" s="93">
        <f>SUM(J22:J26)</f>
        <v>0</v>
      </c>
      <c r="K27" s="95">
        <v>0</v>
      </c>
      <c r="L27" s="507"/>
    </row>
    <row r="28" spans="2:12" ht="3.75" customHeight="1" x14ac:dyDescent="0.25">
      <c r="B28" s="142"/>
      <c r="C28" s="47"/>
      <c r="D28" s="48"/>
      <c r="E28" s="48"/>
      <c r="F28" s="44"/>
      <c r="G28" s="44"/>
      <c r="H28" s="44"/>
      <c r="I28" s="73"/>
      <c r="J28" s="73"/>
      <c r="K28" s="73"/>
      <c r="L28" s="507"/>
    </row>
    <row r="29" spans="2:12" ht="15.75" thickBot="1" x14ac:dyDescent="0.3">
      <c r="B29" s="142"/>
      <c r="C29" s="78" t="s">
        <v>162</v>
      </c>
      <c r="D29" s="79"/>
      <c r="E29" s="79"/>
      <c r="F29" s="80"/>
      <c r="G29" s="80"/>
      <c r="H29" s="80"/>
      <c r="I29" s="74"/>
      <c r="J29" s="73"/>
      <c r="K29" s="73"/>
      <c r="L29" s="507"/>
    </row>
    <row r="30" spans="2:12" x14ac:dyDescent="0.25">
      <c r="B30" s="142"/>
      <c r="C30" s="406"/>
      <c r="D30" s="90" t="s">
        <v>163</v>
      </c>
      <c r="E30" s="44"/>
      <c r="F30" s="46"/>
      <c r="G30" s="46"/>
      <c r="H30" s="46"/>
      <c r="I30" s="915">
        <f>'6A'!K31</f>
        <v>0</v>
      </c>
      <c r="J30" s="916"/>
      <c r="K30" s="917"/>
      <c r="L30" s="507"/>
    </row>
    <row r="31" spans="2:12" x14ac:dyDescent="0.25">
      <c r="B31" s="142"/>
      <c r="C31" s="406"/>
      <c r="D31" s="90" t="s">
        <v>164</v>
      </c>
      <c r="E31" s="44"/>
      <c r="F31" s="49"/>
      <c r="G31" s="49"/>
      <c r="H31" s="49"/>
      <c r="I31" s="911">
        <f>'6A'!K32</f>
        <v>0</v>
      </c>
      <c r="J31" s="912"/>
      <c r="K31" s="918"/>
      <c r="L31" s="507"/>
    </row>
    <row r="32" spans="2:12" x14ac:dyDescent="0.25">
      <c r="B32" s="142"/>
      <c r="C32" s="406"/>
      <c r="D32" s="90" t="s">
        <v>165</v>
      </c>
      <c r="E32" s="44"/>
      <c r="F32" s="49"/>
      <c r="G32" s="49"/>
      <c r="H32" s="49"/>
      <c r="I32" s="911">
        <f>'6A'!K33</f>
        <v>0</v>
      </c>
      <c r="J32" s="912"/>
      <c r="K32" s="918"/>
      <c r="L32" s="507"/>
    </row>
    <row r="33" spans="2:12" x14ac:dyDescent="0.25">
      <c r="B33" s="142"/>
      <c r="C33" s="406"/>
      <c r="D33" s="90" t="s">
        <v>166</v>
      </c>
      <c r="E33" s="44"/>
      <c r="F33" s="49"/>
      <c r="G33" s="49"/>
      <c r="H33" s="49"/>
      <c r="I33" s="911">
        <f>'6A'!K34</f>
        <v>0</v>
      </c>
      <c r="J33" s="912"/>
      <c r="K33" s="918"/>
      <c r="L33" s="507"/>
    </row>
    <row r="34" spans="2:12" x14ac:dyDescent="0.25">
      <c r="B34" s="142"/>
      <c r="C34" s="406"/>
      <c r="D34" s="90" t="s">
        <v>167</v>
      </c>
      <c r="E34" s="44"/>
      <c r="F34" s="49"/>
      <c r="G34" s="49"/>
      <c r="H34" s="49"/>
      <c r="I34" s="911">
        <f>'6A'!K35</f>
        <v>0</v>
      </c>
      <c r="J34" s="912"/>
      <c r="K34" s="918"/>
      <c r="L34" s="507"/>
    </row>
    <row r="35" spans="2:12" x14ac:dyDescent="0.25">
      <c r="B35" s="142"/>
      <c r="C35" s="406"/>
      <c r="D35" s="90" t="s">
        <v>168</v>
      </c>
      <c r="E35" s="44"/>
      <c r="F35" s="50"/>
      <c r="G35" s="50"/>
      <c r="H35" s="50"/>
      <c r="I35" s="911">
        <f>'6A'!K36</f>
        <v>0</v>
      </c>
      <c r="J35" s="912"/>
      <c r="K35" s="918"/>
      <c r="L35" s="507"/>
    </row>
    <row r="36" spans="2:12" x14ac:dyDescent="0.25">
      <c r="B36" s="142"/>
      <c r="C36" s="406"/>
      <c r="D36" s="90" t="s">
        <v>169</v>
      </c>
      <c r="E36" s="44"/>
      <c r="F36" s="50"/>
      <c r="G36" s="50"/>
      <c r="H36" s="50"/>
      <c r="I36" s="911">
        <f>'6A'!K37</f>
        <v>0</v>
      </c>
      <c r="J36" s="912"/>
      <c r="K36" s="918"/>
      <c r="L36" s="507"/>
    </row>
    <row r="37" spans="2:12" x14ac:dyDescent="0.25">
      <c r="B37" s="142"/>
      <c r="C37" s="406"/>
      <c r="D37" s="90" t="s">
        <v>170</v>
      </c>
      <c r="E37" s="44"/>
      <c r="F37" s="51"/>
      <c r="G37" s="51"/>
      <c r="H37" s="51"/>
      <c r="I37" s="927">
        <f>'6A'!K38</f>
        <v>0</v>
      </c>
      <c r="J37" s="912"/>
      <c r="K37" s="918"/>
      <c r="L37" s="507"/>
    </row>
    <row r="38" spans="2:12" x14ac:dyDescent="0.25">
      <c r="B38" s="142"/>
      <c r="C38" s="406"/>
      <c r="D38" s="90" t="s">
        <v>171</v>
      </c>
      <c r="E38" s="44"/>
      <c r="F38" s="51"/>
      <c r="G38" s="51"/>
      <c r="H38" s="51"/>
      <c r="I38" s="927">
        <f>'6A'!K39</f>
        <v>0</v>
      </c>
      <c r="J38" s="919"/>
      <c r="K38" s="920"/>
      <c r="L38" s="507"/>
    </row>
    <row r="39" spans="2:12" x14ac:dyDescent="0.25">
      <c r="B39" s="142"/>
      <c r="C39" s="406"/>
      <c r="D39" s="90" t="s">
        <v>172</v>
      </c>
      <c r="E39" s="44"/>
      <c r="F39" s="52"/>
      <c r="G39" s="52"/>
      <c r="H39" s="52"/>
      <c r="I39" s="927">
        <f>'6A'!K40</f>
        <v>0</v>
      </c>
      <c r="J39" s="128"/>
      <c r="K39" s="104"/>
      <c r="L39" s="507"/>
    </row>
    <row r="40" spans="2:12" x14ac:dyDescent="0.25">
      <c r="B40" s="142"/>
      <c r="C40" s="406"/>
      <c r="D40" s="90" t="s">
        <v>241</v>
      </c>
      <c r="E40" s="44"/>
      <c r="F40" s="52"/>
      <c r="G40" s="52"/>
      <c r="H40" s="52"/>
      <c r="I40" s="927">
        <f>'6A'!K41</f>
        <v>0</v>
      </c>
      <c r="J40" s="910"/>
      <c r="K40" s="921"/>
      <c r="L40" s="507"/>
    </row>
    <row r="41" spans="2:12" x14ac:dyDescent="0.25">
      <c r="B41" s="142"/>
      <c r="C41" s="406"/>
      <c r="D41" s="90" t="s">
        <v>242</v>
      </c>
      <c r="E41" s="44"/>
      <c r="F41" s="52"/>
      <c r="G41" s="52"/>
      <c r="H41" s="52"/>
      <c r="I41" s="927">
        <f>'6A'!K42</f>
        <v>0</v>
      </c>
      <c r="J41" s="912"/>
      <c r="K41" s="918"/>
      <c r="L41" s="507"/>
    </row>
    <row r="42" spans="2:12" x14ac:dyDescent="0.25">
      <c r="B42" s="142"/>
      <c r="C42" s="406"/>
      <c r="D42" s="90" t="s">
        <v>175</v>
      </c>
      <c r="E42" s="52"/>
      <c r="F42" s="53"/>
      <c r="G42" s="53"/>
      <c r="H42" s="53"/>
      <c r="I42" s="927">
        <f>'6A'!K43</f>
        <v>0</v>
      </c>
      <c r="J42" s="912"/>
      <c r="K42" s="918"/>
      <c r="L42" s="507"/>
    </row>
    <row r="43" spans="2:12" x14ac:dyDescent="0.25">
      <c r="B43" s="142"/>
      <c r="C43" s="406"/>
      <c r="D43" s="90" t="s">
        <v>176</v>
      </c>
      <c r="E43" s="44"/>
      <c r="F43" s="51"/>
      <c r="G43" s="51"/>
      <c r="H43" s="51"/>
      <c r="I43" s="911">
        <f>'6A'!K44</f>
        <v>0</v>
      </c>
      <c r="J43" s="912"/>
      <c r="K43" s="918"/>
      <c r="L43" s="507"/>
    </row>
    <row r="44" spans="2:12" x14ac:dyDescent="0.25">
      <c r="B44" s="142"/>
      <c r="C44" s="406"/>
      <c r="D44" s="90" t="s">
        <v>177</v>
      </c>
      <c r="E44" s="44"/>
      <c r="F44" s="52"/>
      <c r="G44" s="52"/>
      <c r="H44" s="52"/>
      <c r="I44" s="911">
        <f>'6A'!K45</f>
        <v>0</v>
      </c>
      <c r="J44" s="912"/>
      <c r="K44" s="918"/>
      <c r="L44" s="507"/>
    </row>
    <row r="45" spans="2:12" x14ac:dyDescent="0.25">
      <c r="B45" s="142"/>
      <c r="C45" s="406"/>
      <c r="D45" s="50" t="s">
        <v>428</v>
      </c>
      <c r="E45" s="2456">
        <f>(IF(AND(I45&lt;&gt;0,'6A'!E46=""),"Enter Item on Form 6A",'6A'!E46))</f>
        <v>0</v>
      </c>
      <c r="F45" s="2457"/>
      <c r="G45" s="2458"/>
      <c r="H45" s="508"/>
      <c r="I45" s="913">
        <f>'6A'!K46</f>
        <v>0</v>
      </c>
      <c r="J45" s="922"/>
      <c r="K45" s="923"/>
      <c r="L45" s="507"/>
    </row>
    <row r="46" spans="2:12" ht="15.75" thickBot="1" x14ac:dyDescent="0.3">
      <c r="B46" s="142"/>
      <c r="C46" s="45"/>
      <c r="D46" s="44"/>
      <c r="E46" s="44"/>
      <c r="F46" s="406"/>
      <c r="G46" s="48" t="s">
        <v>161</v>
      </c>
      <c r="H46" s="89"/>
      <c r="I46" s="113">
        <f>SUM(I30:I45)</f>
        <v>0</v>
      </c>
      <c r="J46" s="93">
        <f>(SUM(J30:J38))+(SUM(J40:J45))</f>
        <v>0</v>
      </c>
      <c r="K46" s="97">
        <f>(SUM(K30:K38))+(SUM(K40:K45))</f>
        <v>0</v>
      </c>
      <c r="L46" s="507"/>
    </row>
    <row r="47" spans="2:12" ht="3.75" customHeight="1" x14ac:dyDescent="0.25">
      <c r="B47" s="142"/>
      <c r="C47" s="47"/>
      <c r="D47" s="48"/>
      <c r="E47" s="48"/>
      <c r="F47" s="44"/>
      <c r="G47" s="44"/>
      <c r="H47" s="44"/>
      <c r="I47" s="73"/>
      <c r="J47" s="73"/>
      <c r="K47" s="73"/>
      <c r="L47" s="507"/>
    </row>
    <row r="48" spans="2:12" ht="15.75" thickBot="1" x14ac:dyDescent="0.3">
      <c r="B48" s="142"/>
      <c r="C48" s="81" t="s">
        <v>178</v>
      </c>
      <c r="D48" s="81"/>
      <c r="E48" s="81"/>
      <c r="F48" s="81"/>
      <c r="G48" s="81"/>
      <c r="H48" s="81"/>
      <c r="I48" s="73"/>
      <c r="J48" s="75"/>
      <c r="K48" s="75"/>
      <c r="L48" s="507"/>
    </row>
    <row r="49" spans="2:12" x14ac:dyDescent="0.25">
      <c r="B49" s="142"/>
      <c r="C49" s="406"/>
      <c r="D49" s="90" t="s">
        <v>179</v>
      </c>
      <c r="E49" s="44"/>
      <c r="F49" s="46"/>
      <c r="G49" s="46"/>
      <c r="H49" s="46"/>
      <c r="I49" s="929">
        <f>'6A'!K50</f>
        <v>0</v>
      </c>
      <c r="J49" s="105"/>
      <c r="K49" s="106"/>
      <c r="L49" s="507"/>
    </row>
    <row r="50" spans="2:12" x14ac:dyDescent="0.25">
      <c r="B50" s="142"/>
      <c r="C50" s="406"/>
      <c r="D50" s="90" t="s">
        <v>180</v>
      </c>
      <c r="E50" s="44"/>
      <c r="F50" s="46"/>
      <c r="G50" s="46"/>
      <c r="H50" s="46"/>
      <c r="I50" s="927">
        <f>'6A'!K51</f>
        <v>0</v>
      </c>
      <c r="J50" s="910"/>
      <c r="K50" s="921"/>
      <c r="L50" s="507"/>
    </row>
    <row r="51" spans="2:12" x14ac:dyDescent="0.25">
      <c r="B51" s="142"/>
      <c r="C51" s="406"/>
      <c r="D51" s="90" t="s">
        <v>181</v>
      </c>
      <c r="E51" s="44"/>
      <c r="F51" s="46"/>
      <c r="G51" s="46"/>
      <c r="H51" s="46"/>
      <c r="I51" s="911">
        <f>'6A'!K52</f>
        <v>0</v>
      </c>
      <c r="J51" s="912"/>
      <c r="K51" s="918"/>
      <c r="L51" s="507"/>
    </row>
    <row r="52" spans="2:12" x14ac:dyDescent="0.25">
      <c r="B52" s="142"/>
      <c r="C52" s="406"/>
      <c r="D52" s="90" t="s">
        <v>182</v>
      </c>
      <c r="E52" s="44"/>
      <c r="F52" s="46"/>
      <c r="G52" s="46"/>
      <c r="H52" s="46"/>
      <c r="I52" s="911">
        <f>'6A'!K53</f>
        <v>0</v>
      </c>
      <c r="J52" s="912"/>
      <c r="K52" s="918"/>
      <c r="L52" s="507"/>
    </row>
    <row r="53" spans="2:12" x14ac:dyDescent="0.25">
      <c r="B53" s="142"/>
      <c r="C53" s="406"/>
      <c r="D53" s="83" t="s">
        <v>183</v>
      </c>
      <c r="E53" s="54"/>
      <c r="F53" s="46"/>
      <c r="G53" s="46"/>
      <c r="H53" s="46"/>
      <c r="I53" s="911">
        <f>'6A'!K54</f>
        <v>0</v>
      </c>
      <c r="J53" s="912"/>
      <c r="K53" s="918"/>
      <c r="L53" s="507"/>
    </row>
    <row r="54" spans="2:12" x14ac:dyDescent="0.25">
      <c r="B54" s="142"/>
      <c r="C54" s="406"/>
      <c r="D54" s="90" t="s">
        <v>184</v>
      </c>
      <c r="E54" s="55"/>
      <c r="F54" s="46"/>
      <c r="G54" s="46"/>
      <c r="H54" s="46"/>
      <c r="I54" s="911">
        <f>'6A'!K55</f>
        <v>0</v>
      </c>
      <c r="J54" s="912"/>
      <c r="K54" s="918"/>
      <c r="L54" s="507"/>
    </row>
    <row r="55" spans="2:12" x14ac:dyDescent="0.25">
      <c r="B55" s="142"/>
      <c r="C55" s="406"/>
      <c r="D55" s="90" t="s">
        <v>185</v>
      </c>
      <c r="E55" s="56"/>
      <c r="F55" s="46"/>
      <c r="G55" s="46"/>
      <c r="H55" s="46"/>
      <c r="I55" s="911">
        <f>'6A'!K56</f>
        <v>0</v>
      </c>
      <c r="J55" s="912"/>
      <c r="K55" s="918"/>
      <c r="L55" s="507"/>
    </row>
    <row r="56" spans="2:12" x14ac:dyDescent="0.25">
      <c r="B56" s="142"/>
      <c r="C56" s="406"/>
      <c r="D56" s="90" t="s">
        <v>186</v>
      </c>
      <c r="E56" s="44"/>
      <c r="F56" s="50"/>
      <c r="G56" s="50"/>
      <c r="H56" s="50"/>
      <c r="I56" s="911">
        <f>'6A'!K57</f>
        <v>0</v>
      </c>
      <c r="J56" s="912"/>
      <c r="K56" s="918"/>
      <c r="L56" s="507"/>
    </row>
    <row r="57" spans="2:12" x14ac:dyDescent="0.25">
      <c r="B57" s="142"/>
      <c r="C57" s="406"/>
      <c r="D57" s="83" t="s">
        <v>187</v>
      </c>
      <c r="E57" s="44"/>
      <c r="F57" s="46"/>
      <c r="G57" s="46"/>
      <c r="H57" s="46"/>
      <c r="I57" s="911">
        <f>'6A'!K58</f>
        <v>0</v>
      </c>
      <c r="J57" s="912"/>
      <c r="K57" s="918"/>
      <c r="L57" s="507"/>
    </row>
    <row r="58" spans="2:12" x14ac:dyDescent="0.25">
      <c r="B58" s="142"/>
      <c r="C58" s="406"/>
      <c r="D58" s="83" t="s">
        <v>243</v>
      </c>
      <c r="E58" s="44"/>
      <c r="F58" s="46"/>
      <c r="G58" s="46"/>
      <c r="H58" s="46"/>
      <c r="I58" s="911">
        <f>'6A'!K59</f>
        <v>0</v>
      </c>
      <c r="J58" s="912"/>
      <c r="K58" s="918"/>
      <c r="L58" s="507"/>
    </row>
    <row r="59" spans="2:12" x14ac:dyDescent="0.25">
      <c r="B59" s="142"/>
      <c r="C59" s="406"/>
      <c r="D59" s="83" t="s">
        <v>189</v>
      </c>
      <c r="E59" s="50"/>
      <c r="F59" s="406"/>
      <c r="G59" s="509"/>
      <c r="H59" s="509"/>
      <c r="I59" s="911">
        <f>'6A'!K60</f>
        <v>0</v>
      </c>
      <c r="J59" s="912"/>
      <c r="K59" s="924"/>
      <c r="L59" s="507"/>
    </row>
    <row r="60" spans="2:12" x14ac:dyDescent="0.25">
      <c r="B60" s="142"/>
      <c r="C60" s="406"/>
      <c r="D60" s="83" t="s">
        <v>190</v>
      </c>
      <c r="E60" s="50"/>
      <c r="F60" s="406"/>
      <c r="G60" s="509"/>
      <c r="H60" s="509"/>
      <c r="I60" s="911">
        <f>'6A'!K61</f>
        <v>0</v>
      </c>
      <c r="J60" s="912"/>
      <c r="K60" s="924"/>
      <c r="L60" s="507"/>
    </row>
    <row r="61" spans="2:12" x14ac:dyDescent="0.25">
      <c r="B61" s="142"/>
      <c r="C61" s="406"/>
      <c r="D61" s="50" t="s">
        <v>428</v>
      </c>
      <c r="E61" s="2456">
        <f>(IF(AND(I61&lt;&gt;0,'6A'!E62=""),"Enter Item on Form 6A",'6A'!E62))</f>
        <v>0</v>
      </c>
      <c r="F61" s="2457"/>
      <c r="G61" s="2458"/>
      <c r="H61" s="508"/>
      <c r="I61" s="913">
        <f>'6A'!K62</f>
        <v>0</v>
      </c>
      <c r="J61" s="922"/>
      <c r="K61" s="925"/>
      <c r="L61" s="507"/>
    </row>
    <row r="62" spans="2:12" ht="15.75" thickBot="1" x14ac:dyDescent="0.3">
      <c r="B62" s="142"/>
      <c r="C62" s="45"/>
      <c r="D62" s="44"/>
      <c r="E62" s="44"/>
      <c r="F62" s="406"/>
      <c r="G62" s="48" t="s">
        <v>161</v>
      </c>
      <c r="H62" s="89"/>
      <c r="I62" s="113">
        <f>SUM(I49:I61)</f>
        <v>0</v>
      </c>
      <c r="J62" s="93">
        <f>SUM(J50:J61)</f>
        <v>0</v>
      </c>
      <c r="K62" s="97">
        <f>SUM(K50:K61)</f>
        <v>0</v>
      </c>
      <c r="L62" s="507"/>
    </row>
    <row r="63" spans="2:12" ht="9" customHeight="1" thickBot="1" x14ac:dyDescent="0.3">
      <c r="B63" s="510"/>
      <c r="C63" s="123"/>
      <c r="D63" s="123"/>
      <c r="E63" s="123"/>
      <c r="F63" s="124"/>
      <c r="G63" s="124"/>
      <c r="H63" s="124"/>
      <c r="I63" s="125"/>
      <c r="J63" s="126"/>
      <c r="K63" s="126"/>
      <c r="L63" s="511"/>
    </row>
    <row r="64" spans="2:12" ht="15.75" thickBot="1" x14ac:dyDescent="0.3">
      <c r="B64" s="142"/>
      <c r="C64" s="119" t="s">
        <v>191</v>
      </c>
      <c r="D64" s="120"/>
      <c r="E64" s="120"/>
      <c r="F64" s="121"/>
      <c r="G64" s="121"/>
      <c r="H64" s="121"/>
      <c r="I64" s="122"/>
      <c r="J64" s="73"/>
      <c r="K64" s="73"/>
      <c r="L64" s="507"/>
    </row>
    <row r="65" spans="2:12" x14ac:dyDescent="0.25">
      <c r="B65" s="142"/>
      <c r="C65" s="406"/>
      <c r="D65" s="1687" t="s">
        <v>192</v>
      </c>
      <c r="E65" s="48"/>
      <c r="F65" s="44"/>
      <c r="G65" s="44"/>
      <c r="H65" s="44"/>
      <c r="I65" s="929">
        <f>'6A'!K66</f>
        <v>0</v>
      </c>
      <c r="J65" s="107"/>
      <c r="K65" s="108"/>
      <c r="L65" s="507"/>
    </row>
    <row r="66" spans="2:12" x14ac:dyDescent="0.25">
      <c r="B66" s="142"/>
      <c r="C66" s="406"/>
      <c r="D66" s="1687" t="s">
        <v>193</v>
      </c>
      <c r="E66" s="48"/>
      <c r="F66" s="44"/>
      <c r="G66" s="44"/>
      <c r="H66" s="44"/>
      <c r="I66" s="928">
        <f>'6A'!K67</f>
        <v>0</v>
      </c>
      <c r="J66" s="115"/>
      <c r="K66" s="116"/>
      <c r="L66" s="507"/>
    </row>
    <row r="67" spans="2:12" ht="15.75" thickBot="1" x14ac:dyDescent="0.3">
      <c r="B67" s="142"/>
      <c r="C67" s="406"/>
      <c r="D67" s="48"/>
      <c r="E67" s="406"/>
      <c r="F67" s="44"/>
      <c r="G67" s="48" t="s">
        <v>161</v>
      </c>
      <c r="H67" s="44"/>
      <c r="I67" s="113">
        <f>SUM(I65:I66)</f>
        <v>0</v>
      </c>
      <c r="J67" s="93">
        <v>0</v>
      </c>
      <c r="K67" s="97">
        <v>0</v>
      </c>
      <c r="L67" s="507"/>
    </row>
    <row r="68" spans="2:12" ht="3.75" customHeight="1" x14ac:dyDescent="0.25">
      <c r="B68" s="142"/>
      <c r="C68" s="406"/>
      <c r="D68" s="48"/>
      <c r="E68" s="406"/>
      <c r="F68" s="44"/>
      <c r="G68" s="44"/>
      <c r="H68" s="44"/>
      <c r="I68" s="73"/>
      <c r="J68" s="73"/>
      <c r="K68" s="73"/>
      <c r="L68" s="507"/>
    </row>
    <row r="69" spans="2:12" ht="15.75" thickBot="1" x14ac:dyDescent="0.3">
      <c r="B69" s="142"/>
      <c r="C69" s="78" t="s">
        <v>194</v>
      </c>
      <c r="D69" s="79"/>
      <c r="E69" s="79"/>
      <c r="F69" s="80"/>
      <c r="G69" s="80"/>
      <c r="H69" s="80"/>
      <c r="I69" s="73"/>
      <c r="J69" s="73"/>
      <c r="K69" s="73"/>
      <c r="L69" s="507"/>
    </row>
    <row r="70" spans="2:12" x14ac:dyDescent="0.25">
      <c r="B70" s="142"/>
      <c r="C70" s="406"/>
      <c r="D70" s="90" t="s">
        <v>195</v>
      </c>
      <c r="E70" s="48"/>
      <c r="F70" s="44"/>
      <c r="G70" s="44"/>
      <c r="H70" s="44"/>
      <c r="I70" s="915">
        <f>'6A'!K71</f>
        <v>0</v>
      </c>
      <c r="J70" s="916"/>
      <c r="K70" s="926"/>
      <c r="L70" s="507"/>
    </row>
    <row r="71" spans="2:12" x14ac:dyDescent="0.25">
      <c r="B71" s="142"/>
      <c r="C71" s="406"/>
      <c r="D71" s="90" t="s">
        <v>196</v>
      </c>
      <c r="E71" s="48"/>
      <c r="F71" s="44"/>
      <c r="G71" s="44"/>
      <c r="H71" s="44"/>
      <c r="I71" s="911">
        <f>'6A'!K72</f>
        <v>0</v>
      </c>
      <c r="J71" s="912"/>
      <c r="K71" s="918"/>
      <c r="L71" s="507"/>
    </row>
    <row r="72" spans="2:12" x14ac:dyDescent="0.25">
      <c r="B72" s="142"/>
      <c r="C72" s="406"/>
      <c r="D72" s="90" t="s">
        <v>197</v>
      </c>
      <c r="E72" s="48"/>
      <c r="F72" s="44"/>
      <c r="G72" s="44"/>
      <c r="H72" s="44"/>
      <c r="I72" s="911">
        <f>'6A'!K73</f>
        <v>0</v>
      </c>
      <c r="J72" s="912"/>
      <c r="K72" s="918"/>
      <c r="L72" s="507"/>
    </row>
    <row r="73" spans="2:12" x14ac:dyDescent="0.25">
      <c r="B73" s="142"/>
      <c r="C73" s="406"/>
      <c r="D73" s="90" t="s">
        <v>198</v>
      </c>
      <c r="E73" s="48"/>
      <c r="F73" s="44"/>
      <c r="G73" s="44"/>
      <c r="H73" s="44"/>
      <c r="I73" s="927">
        <f>'6A'!K74</f>
        <v>0</v>
      </c>
      <c r="J73" s="919"/>
      <c r="K73" s="920"/>
      <c r="L73" s="507"/>
    </row>
    <row r="74" spans="2:12" x14ac:dyDescent="0.25">
      <c r="B74" s="142"/>
      <c r="C74" s="406"/>
      <c r="D74" s="90" t="s">
        <v>199</v>
      </c>
      <c r="E74" s="48"/>
      <c r="F74" s="44"/>
      <c r="G74" s="44"/>
      <c r="H74" s="44"/>
      <c r="I74" s="928">
        <f>'6A'!K75</f>
        <v>0</v>
      </c>
      <c r="J74" s="117"/>
      <c r="K74" s="118"/>
      <c r="L74" s="507"/>
    </row>
    <row r="75" spans="2:12" ht="15.75" thickBot="1" x14ac:dyDescent="0.3">
      <c r="B75" s="142"/>
      <c r="C75" s="45"/>
      <c r="D75" s="44"/>
      <c r="E75" s="44"/>
      <c r="F75" s="406"/>
      <c r="G75" s="48" t="s">
        <v>161</v>
      </c>
      <c r="H75" s="89"/>
      <c r="I75" s="113">
        <f>SUM(I70:I74)</f>
        <v>0</v>
      </c>
      <c r="J75" s="93">
        <f>SUM(J70:J73)</f>
        <v>0</v>
      </c>
      <c r="K75" s="97">
        <f>SUM(K70:K73)</f>
        <v>0</v>
      </c>
      <c r="L75" s="507"/>
    </row>
    <row r="76" spans="2:12" ht="3.75" customHeight="1" x14ac:dyDescent="0.25">
      <c r="B76" s="142"/>
      <c r="C76" s="47"/>
      <c r="D76" s="48"/>
      <c r="E76" s="48"/>
      <c r="F76" s="44"/>
      <c r="G76" s="44"/>
      <c r="H76" s="44"/>
      <c r="I76" s="73"/>
      <c r="J76" s="73"/>
      <c r="K76" s="73"/>
      <c r="L76" s="507"/>
    </row>
    <row r="77" spans="2:12" ht="15.75" thickBot="1" x14ac:dyDescent="0.3">
      <c r="B77" s="142"/>
      <c r="C77" s="78" t="s">
        <v>200</v>
      </c>
      <c r="D77" s="79"/>
      <c r="E77" s="79"/>
      <c r="F77" s="80"/>
      <c r="G77" s="80"/>
      <c r="H77" s="80"/>
      <c r="I77" s="73"/>
      <c r="J77" s="73"/>
      <c r="K77" s="73"/>
      <c r="L77" s="507"/>
    </row>
    <row r="78" spans="2:12" x14ac:dyDescent="0.25">
      <c r="B78" s="142"/>
      <c r="C78" s="406"/>
      <c r="D78" s="90" t="s">
        <v>201</v>
      </c>
      <c r="E78" s="48"/>
      <c r="F78" s="44"/>
      <c r="G78" s="44"/>
      <c r="H78" s="44"/>
      <c r="I78" s="929">
        <f>'6A'!K79</f>
        <v>0</v>
      </c>
      <c r="J78" s="107"/>
      <c r="K78" s="108"/>
      <c r="L78" s="507"/>
    </row>
    <row r="79" spans="2:12" x14ac:dyDescent="0.25">
      <c r="B79" s="142"/>
      <c r="C79" s="406"/>
      <c r="D79" s="90" t="s">
        <v>202</v>
      </c>
      <c r="E79" s="48"/>
      <c r="F79" s="44"/>
      <c r="G79" s="44"/>
      <c r="H79" s="44"/>
      <c r="I79" s="927">
        <f>'6A'!K80</f>
        <v>0</v>
      </c>
      <c r="J79" s="109"/>
      <c r="K79" s="110"/>
      <c r="L79" s="507"/>
    </row>
    <row r="80" spans="2:12" x14ac:dyDescent="0.25">
      <c r="B80" s="142"/>
      <c r="C80" s="406"/>
      <c r="D80" s="90" t="s">
        <v>203</v>
      </c>
      <c r="E80" s="48"/>
      <c r="F80" s="44"/>
      <c r="G80" s="44"/>
      <c r="H80" s="44"/>
      <c r="I80" s="927">
        <f>'6A'!K81</f>
        <v>0</v>
      </c>
      <c r="J80" s="109"/>
      <c r="K80" s="110"/>
      <c r="L80" s="507"/>
    </row>
    <row r="81" spans="2:12" x14ac:dyDescent="0.25">
      <c r="B81" s="142"/>
      <c r="C81" s="406"/>
      <c r="D81" s="82" t="s">
        <v>204</v>
      </c>
      <c r="E81" s="44"/>
      <c r="F81" s="44"/>
      <c r="G81" s="44"/>
      <c r="H81" s="44"/>
      <c r="I81" s="927">
        <f>'6A'!K82</f>
        <v>0</v>
      </c>
      <c r="J81" s="109"/>
      <c r="K81" s="110"/>
      <c r="L81" s="507"/>
    </row>
    <row r="82" spans="2:12" x14ac:dyDescent="0.25">
      <c r="B82" s="142"/>
      <c r="C82" s="406"/>
      <c r="D82" s="1688" t="s">
        <v>205</v>
      </c>
      <c r="E82" s="44"/>
      <c r="F82" s="44"/>
      <c r="G82" s="44"/>
      <c r="H82" s="44"/>
      <c r="I82" s="927">
        <f>'6A'!K83</f>
        <v>0</v>
      </c>
      <c r="J82" s="109"/>
      <c r="K82" s="110"/>
      <c r="L82" s="507"/>
    </row>
    <row r="83" spans="2:12" x14ac:dyDescent="0.25">
      <c r="B83" s="142"/>
      <c r="C83" s="406"/>
      <c r="D83" s="1688" t="s">
        <v>206</v>
      </c>
      <c r="E83" s="44"/>
      <c r="F83" s="44"/>
      <c r="G83" s="44"/>
      <c r="H83" s="44"/>
      <c r="I83" s="927">
        <f>'6A'!K84</f>
        <v>0</v>
      </c>
      <c r="J83" s="109"/>
      <c r="K83" s="110"/>
      <c r="L83" s="507"/>
    </row>
    <row r="84" spans="2:12" x14ac:dyDescent="0.25">
      <c r="B84" s="142"/>
      <c r="C84" s="406"/>
      <c r="D84" s="83" t="s">
        <v>207</v>
      </c>
      <c r="E84" s="48"/>
      <c r="F84" s="44"/>
      <c r="G84" s="44"/>
      <c r="H84" s="44"/>
      <c r="I84" s="927">
        <f>'6A'!K85</f>
        <v>0</v>
      </c>
      <c r="J84" s="109"/>
      <c r="K84" s="110"/>
      <c r="L84" s="507"/>
    </row>
    <row r="85" spans="2:12" x14ac:dyDescent="0.25">
      <c r="B85" s="142"/>
      <c r="C85" s="406"/>
      <c r="D85" s="50" t="s">
        <v>428</v>
      </c>
      <c r="E85" s="2456">
        <f>(IF(AND(I85&lt;&gt;0,'6A'!E86=""),"Enter Item on Form 6A",'6A'!E86))</f>
        <v>0</v>
      </c>
      <c r="F85" s="2457"/>
      <c r="G85" s="2458"/>
      <c r="H85" s="508"/>
      <c r="I85" s="928">
        <f>'6A'!K86</f>
        <v>0</v>
      </c>
      <c r="J85" s="115"/>
      <c r="K85" s="116"/>
      <c r="L85" s="507"/>
    </row>
    <row r="86" spans="2:12" ht="15.75" thickBot="1" x14ac:dyDescent="0.3">
      <c r="B86" s="142"/>
      <c r="C86" s="45"/>
      <c r="D86" s="44"/>
      <c r="E86" s="44"/>
      <c r="F86" s="406"/>
      <c r="G86" s="48" t="s">
        <v>161</v>
      </c>
      <c r="H86" s="89"/>
      <c r="I86" s="113">
        <f>SUM(I78:I85)</f>
        <v>0</v>
      </c>
      <c r="J86" s="93">
        <v>0</v>
      </c>
      <c r="K86" s="97">
        <v>0</v>
      </c>
      <c r="L86" s="507"/>
    </row>
    <row r="87" spans="2:12" ht="3.75" customHeight="1" x14ac:dyDescent="0.25">
      <c r="B87" s="142"/>
      <c r="C87" s="47"/>
      <c r="D87" s="48"/>
      <c r="E87" s="48"/>
      <c r="F87" s="44"/>
      <c r="G87" s="44"/>
      <c r="H87" s="44"/>
      <c r="I87" s="73"/>
      <c r="J87" s="73"/>
      <c r="K87" s="73"/>
      <c r="L87" s="507"/>
    </row>
    <row r="88" spans="2:12" ht="15.75" thickBot="1" x14ac:dyDescent="0.3">
      <c r="B88" s="142"/>
      <c r="C88" s="78" t="s">
        <v>208</v>
      </c>
      <c r="D88" s="79"/>
      <c r="E88" s="79"/>
      <c r="F88" s="80"/>
      <c r="G88" s="80"/>
      <c r="H88" s="80"/>
      <c r="I88" s="76"/>
      <c r="J88" s="76"/>
      <c r="K88" s="85"/>
      <c r="L88" s="507"/>
    </row>
    <row r="89" spans="2:12" x14ac:dyDescent="0.25">
      <c r="B89" s="142"/>
      <c r="C89" s="406"/>
      <c r="D89" s="1689" t="s">
        <v>209</v>
      </c>
      <c r="E89" s="44"/>
      <c r="F89" s="51"/>
      <c r="G89" s="51"/>
      <c r="H89" s="51"/>
      <c r="I89" s="929">
        <f>'6A'!K90</f>
        <v>0</v>
      </c>
      <c r="J89" s="107"/>
      <c r="K89" s="108"/>
      <c r="L89" s="507"/>
    </row>
    <row r="90" spans="2:12" x14ac:dyDescent="0.25">
      <c r="B90" s="142"/>
      <c r="C90" s="406"/>
      <c r="D90" s="1689" t="s">
        <v>210</v>
      </c>
      <c r="E90" s="44"/>
      <c r="F90" s="52"/>
      <c r="G90" s="52"/>
      <c r="H90" s="52"/>
      <c r="I90" s="927">
        <f>'6A'!K91</f>
        <v>0</v>
      </c>
      <c r="J90" s="109"/>
      <c r="K90" s="110"/>
      <c r="L90" s="507"/>
    </row>
    <row r="91" spans="2:12" x14ac:dyDescent="0.25">
      <c r="B91" s="142"/>
      <c r="C91" s="406"/>
      <c r="D91" s="1690" t="s">
        <v>428</v>
      </c>
      <c r="E91" s="2456">
        <f>(IF(AND(I91&lt;&gt;0,'6A'!E92=""),"Enter Item on Form 6A",'6A'!E92))</f>
        <v>0</v>
      </c>
      <c r="F91" s="2457"/>
      <c r="G91" s="2458"/>
      <c r="H91" s="508"/>
      <c r="I91" s="928">
        <f>'6A'!K92</f>
        <v>0</v>
      </c>
      <c r="J91" s="115"/>
      <c r="K91" s="116"/>
      <c r="L91" s="507"/>
    </row>
    <row r="92" spans="2:12" ht="15.75" thickBot="1" x14ac:dyDescent="0.3">
      <c r="B92" s="142"/>
      <c r="C92" s="45"/>
      <c r="D92" s="44"/>
      <c r="E92" s="44"/>
      <c r="F92" s="406"/>
      <c r="G92" s="48" t="s">
        <v>161</v>
      </c>
      <c r="H92" s="89"/>
      <c r="I92" s="113">
        <f>SUM(I89:I91)</f>
        <v>0</v>
      </c>
      <c r="J92" s="93">
        <v>0</v>
      </c>
      <c r="K92" s="97">
        <v>0</v>
      </c>
      <c r="L92" s="507"/>
    </row>
    <row r="93" spans="2:12" ht="3.75" customHeight="1" x14ac:dyDescent="0.25">
      <c r="B93" s="142"/>
      <c r="C93" s="47"/>
      <c r="D93" s="48"/>
      <c r="E93" s="48"/>
      <c r="F93" s="44"/>
      <c r="G93" s="44"/>
      <c r="H93" s="44"/>
      <c r="I93" s="73"/>
      <c r="J93" s="73"/>
      <c r="K93" s="73"/>
      <c r="L93" s="507"/>
    </row>
    <row r="94" spans="2:12" ht="15.75" thickBot="1" x14ac:dyDescent="0.3">
      <c r="B94" s="142"/>
      <c r="C94" s="78" t="s">
        <v>211</v>
      </c>
      <c r="D94" s="79"/>
      <c r="E94" s="79"/>
      <c r="F94" s="80"/>
      <c r="G94" s="80"/>
      <c r="H94" s="80"/>
      <c r="I94" s="86"/>
      <c r="J94" s="76"/>
      <c r="K94" s="85"/>
      <c r="L94" s="507"/>
    </row>
    <row r="95" spans="2:12" x14ac:dyDescent="0.25">
      <c r="B95" s="142"/>
      <c r="C95" s="406"/>
      <c r="D95" s="83" t="s">
        <v>212</v>
      </c>
      <c r="E95" s="44"/>
      <c r="F95" s="51"/>
      <c r="G95" s="51"/>
      <c r="H95" s="51"/>
      <c r="I95" s="915">
        <f>'6A'!K96</f>
        <v>0</v>
      </c>
      <c r="J95" s="916"/>
      <c r="K95" s="926"/>
      <c r="L95" s="507"/>
    </row>
    <row r="96" spans="2:12" x14ac:dyDescent="0.25">
      <c r="B96" s="142"/>
      <c r="C96" s="406"/>
      <c r="D96" s="83" t="s">
        <v>213</v>
      </c>
      <c r="E96" s="44"/>
      <c r="F96" s="52"/>
      <c r="G96" s="52"/>
      <c r="H96" s="52"/>
      <c r="I96" s="911">
        <f>'6A'!K97</f>
        <v>0</v>
      </c>
      <c r="J96" s="912"/>
      <c r="K96" s="918"/>
      <c r="L96" s="507"/>
    </row>
    <row r="97" spans="2:12" x14ac:dyDescent="0.25">
      <c r="B97" s="142"/>
      <c r="C97" s="406"/>
      <c r="D97" s="83" t="s">
        <v>110</v>
      </c>
      <c r="E97" s="44"/>
      <c r="F97" s="44"/>
      <c r="G97" s="44"/>
      <c r="H97" s="44"/>
      <c r="I97" s="911">
        <f>'6A'!K98</f>
        <v>0</v>
      </c>
      <c r="J97" s="912"/>
      <c r="K97" s="918"/>
      <c r="L97" s="507"/>
    </row>
    <row r="98" spans="2:12" x14ac:dyDescent="0.25">
      <c r="B98" s="142"/>
      <c r="C98" s="406"/>
      <c r="D98" s="83" t="s">
        <v>214</v>
      </c>
      <c r="E98" s="44"/>
      <c r="F98" s="44"/>
      <c r="G98" s="44"/>
      <c r="H98" s="44"/>
      <c r="I98" s="911">
        <f>'6A'!K99</f>
        <v>0</v>
      </c>
      <c r="J98" s="912"/>
      <c r="K98" s="918"/>
      <c r="L98" s="507"/>
    </row>
    <row r="99" spans="2:12" x14ac:dyDescent="0.25">
      <c r="B99" s="142"/>
      <c r="C99" s="406"/>
      <c r="D99" s="83" t="s">
        <v>215</v>
      </c>
      <c r="E99" s="44"/>
      <c r="F99" s="44"/>
      <c r="G99" s="44"/>
      <c r="H99" s="44"/>
      <c r="I99" s="911">
        <f>'6A'!K100</f>
        <v>0</v>
      </c>
      <c r="J99" s="912"/>
      <c r="K99" s="918"/>
      <c r="L99" s="507"/>
    </row>
    <row r="100" spans="2:12" x14ac:dyDescent="0.25">
      <c r="B100" s="142"/>
      <c r="C100" s="406"/>
      <c r="D100" s="82" t="s">
        <v>216</v>
      </c>
      <c r="E100" s="44"/>
      <c r="F100" s="44"/>
      <c r="G100" s="44"/>
      <c r="H100" s="44"/>
      <c r="I100" s="911">
        <f>'6A'!K101</f>
        <v>0</v>
      </c>
      <c r="J100" s="912"/>
      <c r="K100" s="918"/>
      <c r="L100" s="507"/>
    </row>
    <row r="101" spans="2:12" x14ac:dyDescent="0.25">
      <c r="B101" s="142"/>
      <c r="C101" s="406"/>
      <c r="D101" s="82" t="s">
        <v>217</v>
      </c>
      <c r="E101" s="44"/>
      <c r="F101" s="44"/>
      <c r="G101" s="44"/>
      <c r="H101" s="44"/>
      <c r="I101" s="927">
        <f>'6A'!K102</f>
        <v>0</v>
      </c>
      <c r="J101" s="919"/>
      <c r="K101" s="920"/>
      <c r="L101" s="507"/>
    </row>
    <row r="102" spans="2:12" x14ac:dyDescent="0.25">
      <c r="B102" s="142"/>
      <c r="C102" s="406"/>
      <c r="D102" s="1688" t="s">
        <v>218</v>
      </c>
      <c r="E102" s="44"/>
      <c r="F102" s="44"/>
      <c r="G102" s="44"/>
      <c r="H102" s="44"/>
      <c r="I102" s="927">
        <f>'6A'!K103</f>
        <v>0</v>
      </c>
      <c r="J102" s="128"/>
      <c r="K102" s="104"/>
      <c r="L102" s="507"/>
    </row>
    <row r="103" spans="2:12" x14ac:dyDescent="0.25">
      <c r="B103" s="142"/>
      <c r="C103" s="406"/>
      <c r="D103" s="83" t="s">
        <v>219</v>
      </c>
      <c r="E103" s="44"/>
      <c r="F103" s="44"/>
      <c r="G103" s="44"/>
      <c r="H103" s="44"/>
      <c r="I103" s="927">
        <f>'6A'!K104</f>
        <v>0</v>
      </c>
      <c r="J103" s="88"/>
      <c r="K103" s="96"/>
      <c r="L103" s="507"/>
    </row>
    <row r="104" spans="2:12" x14ac:dyDescent="0.25">
      <c r="B104" s="142"/>
      <c r="C104" s="406"/>
      <c r="D104" s="82" t="s">
        <v>220</v>
      </c>
      <c r="E104" s="44"/>
      <c r="F104" s="44"/>
      <c r="G104" s="44"/>
      <c r="H104" s="44"/>
      <c r="I104" s="927">
        <f>'6A'!K105</f>
        <v>0</v>
      </c>
      <c r="J104" s="111"/>
      <c r="K104" s="112"/>
      <c r="L104" s="507"/>
    </row>
    <row r="105" spans="2:12" x14ac:dyDescent="0.25">
      <c r="B105" s="142"/>
      <c r="C105" s="406"/>
      <c r="D105" s="1689" t="s">
        <v>221</v>
      </c>
      <c r="E105" s="59"/>
      <c r="F105" s="52"/>
      <c r="G105" s="52"/>
      <c r="H105" s="52"/>
      <c r="I105" s="928">
        <f>'6A'!K106</f>
        <v>0</v>
      </c>
      <c r="J105" s="115"/>
      <c r="K105" s="116"/>
      <c r="L105" s="507"/>
    </row>
    <row r="106" spans="2:12" ht="15.75" thickBot="1" x14ac:dyDescent="0.3">
      <c r="B106" s="142"/>
      <c r="C106" s="45"/>
      <c r="D106" s="44"/>
      <c r="E106" s="44"/>
      <c r="F106" s="406"/>
      <c r="G106" s="48" t="s">
        <v>161</v>
      </c>
      <c r="H106" s="89"/>
      <c r="I106" s="113">
        <f>SUM(I95:I105)</f>
        <v>0</v>
      </c>
      <c r="J106" s="93">
        <f>SUM(J95:J101)+J103</f>
        <v>0</v>
      </c>
      <c r="K106" s="97">
        <f>SUM(K95:K101)+K103</f>
        <v>0</v>
      </c>
      <c r="L106" s="507"/>
    </row>
    <row r="107" spans="2:12" ht="9" customHeight="1" thickBot="1" x14ac:dyDescent="0.3">
      <c r="B107" s="510"/>
      <c r="C107" s="127"/>
      <c r="D107" s="58"/>
      <c r="E107" s="58"/>
      <c r="F107" s="57"/>
      <c r="G107" s="57"/>
      <c r="H107" s="57"/>
      <c r="I107" s="87"/>
      <c r="J107" s="87"/>
      <c r="K107" s="87"/>
      <c r="L107" s="511"/>
    </row>
    <row r="108" spans="2:12" ht="15.75" thickBot="1" x14ac:dyDescent="0.3">
      <c r="B108" s="142"/>
      <c r="C108" s="78" t="s">
        <v>222</v>
      </c>
      <c r="D108" s="79"/>
      <c r="E108" s="79"/>
      <c r="F108" s="80"/>
      <c r="G108" s="80"/>
      <c r="H108" s="80"/>
      <c r="I108" s="73"/>
      <c r="J108" s="73"/>
      <c r="K108" s="73"/>
      <c r="L108" s="144"/>
    </row>
    <row r="109" spans="2:12" x14ac:dyDescent="0.25">
      <c r="B109" s="142"/>
      <c r="C109" s="143"/>
      <c r="D109" s="90" t="s">
        <v>223</v>
      </c>
      <c r="E109" s="48"/>
      <c r="F109" s="44"/>
      <c r="G109" s="44"/>
      <c r="H109" s="44"/>
      <c r="I109" s="929">
        <f>'6A'!K111</f>
        <v>0</v>
      </c>
      <c r="J109" s="107"/>
      <c r="K109" s="108"/>
      <c r="L109" s="144"/>
    </row>
    <row r="110" spans="2:12" x14ac:dyDescent="0.25">
      <c r="B110" s="142"/>
      <c r="C110" s="143"/>
      <c r="D110" s="90" t="s">
        <v>224</v>
      </c>
      <c r="E110" s="48"/>
      <c r="F110" s="44"/>
      <c r="G110" s="44"/>
      <c r="H110" s="44"/>
      <c r="I110" s="927">
        <f>'6A'!K112</f>
        <v>0</v>
      </c>
      <c r="J110" s="109"/>
      <c r="K110" s="110"/>
      <c r="L110" s="144"/>
    </row>
    <row r="111" spans="2:12" x14ac:dyDescent="0.25">
      <c r="B111" s="142"/>
      <c r="C111" s="406"/>
      <c r="D111" s="90" t="s">
        <v>225</v>
      </c>
      <c r="E111" s="48"/>
      <c r="F111" s="44"/>
      <c r="G111" s="44"/>
      <c r="H111" s="44"/>
      <c r="I111" s="927">
        <f>'6A'!K113</f>
        <v>0</v>
      </c>
      <c r="J111" s="109"/>
      <c r="K111" s="110"/>
      <c r="L111" s="507"/>
    </row>
    <row r="112" spans="2:12" x14ac:dyDescent="0.25">
      <c r="B112" s="142"/>
      <c r="C112" s="406"/>
      <c r="D112" s="90" t="s">
        <v>226</v>
      </c>
      <c r="E112" s="48"/>
      <c r="F112" s="44"/>
      <c r="G112" s="44"/>
      <c r="H112" s="44"/>
      <c r="I112" s="927">
        <f>'6A'!K114</f>
        <v>0</v>
      </c>
      <c r="J112" s="109"/>
      <c r="K112" s="110"/>
      <c r="L112" s="507"/>
    </row>
    <row r="113" spans="2:12" x14ac:dyDescent="0.25">
      <c r="B113" s="142"/>
      <c r="C113" s="406"/>
      <c r="D113" s="90" t="s">
        <v>227</v>
      </c>
      <c r="E113" s="48"/>
      <c r="F113" s="44"/>
      <c r="G113" s="44"/>
      <c r="H113" s="44"/>
      <c r="I113" s="927">
        <f>'6A'!K115</f>
        <v>0</v>
      </c>
      <c r="J113" s="109"/>
      <c r="K113" s="110"/>
      <c r="L113" s="507"/>
    </row>
    <row r="114" spans="2:12" x14ac:dyDescent="0.25">
      <c r="B114" s="142"/>
      <c r="C114" s="406"/>
      <c r="D114" s="90" t="s">
        <v>228</v>
      </c>
      <c r="E114" s="48"/>
      <c r="F114" s="44"/>
      <c r="G114" s="44"/>
      <c r="H114" s="44"/>
      <c r="I114" s="927">
        <f>'6A'!K116</f>
        <v>0</v>
      </c>
      <c r="J114" s="109"/>
      <c r="K114" s="110"/>
      <c r="L114" s="507"/>
    </row>
    <row r="115" spans="2:12" x14ac:dyDescent="0.25">
      <c r="B115" s="142"/>
      <c r="C115" s="406"/>
      <c r="D115" s="90" t="s">
        <v>229</v>
      </c>
      <c r="E115" s="48"/>
      <c r="F115" s="44"/>
      <c r="G115" s="44"/>
      <c r="H115" s="44"/>
      <c r="I115" s="928">
        <f>'6A'!K117</f>
        <v>0</v>
      </c>
      <c r="J115" s="115"/>
      <c r="K115" s="116"/>
      <c r="L115" s="507"/>
    </row>
    <row r="116" spans="2:12" ht="15.75" thickBot="1" x14ac:dyDescent="0.3">
      <c r="B116" s="142"/>
      <c r="C116" s="45"/>
      <c r="D116" s="406"/>
      <c r="E116" s="44"/>
      <c r="F116" s="406"/>
      <c r="G116" s="48" t="s">
        <v>161</v>
      </c>
      <c r="H116" s="89"/>
      <c r="I116" s="113">
        <f>SUM(I109:I115)</f>
        <v>0</v>
      </c>
      <c r="J116" s="93">
        <v>0</v>
      </c>
      <c r="K116" s="97">
        <v>0</v>
      </c>
      <c r="L116" s="507"/>
    </row>
    <row r="117" spans="2:12" ht="7.5" customHeight="1" thickBot="1" x14ac:dyDescent="0.3">
      <c r="B117" s="142"/>
      <c r="C117" s="66"/>
      <c r="D117" s="65"/>
      <c r="E117" s="65"/>
      <c r="F117" s="67"/>
      <c r="G117" s="67"/>
      <c r="H117" s="67"/>
      <c r="I117" s="77"/>
      <c r="J117" s="77"/>
      <c r="K117" s="77"/>
      <c r="L117" s="507"/>
    </row>
    <row r="118" spans="2:12" ht="15.75" thickBot="1" x14ac:dyDescent="0.3">
      <c r="B118" s="142"/>
      <c r="C118" s="99" t="s">
        <v>244</v>
      </c>
      <c r="D118" s="100"/>
      <c r="E118" s="100"/>
      <c r="F118" s="100"/>
      <c r="G118" s="100"/>
      <c r="H118" s="100"/>
      <c r="I118" s="94">
        <f>I27+I46+I62+I67+I75+I86+I92+I106+I116</f>
        <v>0</v>
      </c>
      <c r="J118" s="92">
        <f>J27+J46+J62+J67+J75+J86+J92+J106+J116</f>
        <v>0</v>
      </c>
      <c r="K118" s="98">
        <f>K27+K46+K62+K67+K75+K86+K92+K106+K116</f>
        <v>0</v>
      </c>
      <c r="L118" s="507"/>
    </row>
    <row r="119" spans="2:12" ht="7.5" customHeight="1" x14ac:dyDescent="0.25">
      <c r="B119" s="142"/>
      <c r="C119" s="143"/>
      <c r="D119" s="143"/>
      <c r="E119" s="143"/>
      <c r="F119" s="143"/>
      <c r="G119" s="143"/>
      <c r="H119" s="143"/>
      <c r="I119" s="406"/>
      <c r="J119" s="406"/>
      <c r="K119" s="406"/>
      <c r="L119" s="507"/>
    </row>
    <row r="120" spans="2:12" ht="9" customHeight="1" thickBot="1" x14ac:dyDescent="0.3">
      <c r="B120" s="512"/>
      <c r="C120" s="513"/>
      <c r="D120" s="513"/>
      <c r="E120" s="513"/>
      <c r="F120" s="513"/>
      <c r="G120" s="513"/>
      <c r="H120" s="513"/>
      <c r="I120" s="513"/>
      <c r="J120" s="513"/>
      <c r="K120" s="513"/>
      <c r="L120" s="511"/>
    </row>
  </sheetData>
  <sheetProtection algorithmName="SHA-512" hashValue="ZfdNHbaJGf4dTF0nIm5R7cw46Emxn6KShZZpeTpV93wGSokB9sCxt9T2ioz3efSLEPiwMoYvLRarziyjN4LOEA==" saltValue="erLLSLhdsTW6y+wyRs4miA==" spinCount="100000" sheet="1" formatCells="0" formatColumns="0" formatRows="0"/>
  <mergeCells count="12">
    <mergeCell ref="C11:K11"/>
    <mergeCell ref="I15:K15"/>
    <mergeCell ref="J16:K16"/>
    <mergeCell ref="J17:J19"/>
    <mergeCell ref="I16:I19"/>
    <mergeCell ref="K17:K19"/>
    <mergeCell ref="C13:K13"/>
    <mergeCell ref="E85:G85"/>
    <mergeCell ref="E26:G26"/>
    <mergeCell ref="E45:G45"/>
    <mergeCell ref="E61:G61"/>
    <mergeCell ref="E91:G91"/>
  </mergeCells>
  <pageMargins left="0.7" right="0.7" top="0.75" bottom="0.75" header="0.3" footer="0.3"/>
  <pageSetup scale="84" fitToHeight="2" orientation="portrait" r:id="rId1"/>
  <headerFooter>
    <oddFooter>&amp;LForm 6C
LIHTC Budget (Basis Calculation)&amp;CCFA Forms</oddFooter>
  </headerFooter>
  <rowBreaks count="2" manualBreakCount="2">
    <brk id="63" min="1" max="11" man="1"/>
    <brk id="107"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EY2"/>
  <sheetViews>
    <sheetView workbookViewId="0">
      <selection activeCell="A2" sqref="A2"/>
    </sheetView>
  </sheetViews>
  <sheetFormatPr defaultRowHeight="15" x14ac:dyDescent="0.25"/>
  <cols>
    <col min="85" max="85" width="28" bestFit="1" customWidth="1"/>
    <col min="86" max="86" width="26.28515625" bestFit="1" customWidth="1"/>
    <col min="124" max="124" width="30.5703125" bestFit="1" customWidth="1"/>
    <col min="125" max="125" width="29.140625" bestFit="1" customWidth="1"/>
  </cols>
  <sheetData>
    <row r="1" spans="1:155" x14ac:dyDescent="0.25">
      <c r="A1" s="1970" t="s">
        <v>1824</v>
      </c>
      <c r="B1" s="1970" t="s">
        <v>1825</v>
      </c>
      <c r="C1" s="1970" t="s">
        <v>1826</v>
      </c>
      <c r="D1" s="1970" t="s">
        <v>1827</v>
      </c>
      <c r="E1" s="1970" t="s">
        <v>1828</v>
      </c>
      <c r="F1" s="1970" t="s">
        <v>1829</v>
      </c>
      <c r="G1" s="1970" t="s">
        <v>1830</v>
      </c>
      <c r="H1" s="1970" t="s">
        <v>1831</v>
      </c>
      <c r="I1" s="1970" t="s">
        <v>1832</v>
      </c>
      <c r="J1" s="1970" t="s">
        <v>1833</v>
      </c>
      <c r="K1" s="1970" t="s">
        <v>1834</v>
      </c>
      <c r="L1" s="1970" t="s">
        <v>1835</v>
      </c>
      <c r="M1" s="1970" t="s">
        <v>1836</v>
      </c>
      <c r="N1" s="1970" t="s">
        <v>1837</v>
      </c>
      <c r="O1" s="1970" t="s">
        <v>1838</v>
      </c>
      <c r="P1" s="1970" t="s">
        <v>1839</v>
      </c>
      <c r="Q1" s="1970" t="s">
        <v>1840</v>
      </c>
      <c r="R1" s="1970" t="s">
        <v>1841</v>
      </c>
      <c r="S1" s="1970" t="s">
        <v>1842</v>
      </c>
      <c r="T1" s="1970" t="s">
        <v>1843</v>
      </c>
      <c r="U1" s="1970" t="s">
        <v>1844</v>
      </c>
      <c r="V1" s="1970" t="s">
        <v>1845</v>
      </c>
      <c r="W1" s="1970" t="s">
        <v>1846</v>
      </c>
      <c r="X1" s="1970" t="s">
        <v>1847</v>
      </c>
      <c r="Y1" s="1970" t="s">
        <v>1848</v>
      </c>
      <c r="Z1" s="1970" t="s">
        <v>1849</v>
      </c>
      <c r="AA1" s="1970" t="s">
        <v>1850</v>
      </c>
      <c r="AB1" s="1970" t="s">
        <v>1851</v>
      </c>
      <c r="AC1" s="1970" t="s">
        <v>1852</v>
      </c>
      <c r="AD1" s="1970" t="s">
        <v>1853</v>
      </c>
      <c r="AE1" s="1970" t="s">
        <v>1854</v>
      </c>
      <c r="AF1" s="1970" t="s">
        <v>1855</v>
      </c>
      <c r="AG1" s="1970" t="s">
        <v>1856</v>
      </c>
      <c r="AH1" s="1970" t="s">
        <v>1857</v>
      </c>
      <c r="AI1" s="1970" t="s">
        <v>1858</v>
      </c>
      <c r="AJ1" s="1970" t="s">
        <v>1859</v>
      </c>
      <c r="AK1" s="1970" t="s">
        <v>1860</v>
      </c>
      <c r="AL1" s="1970" t="s">
        <v>1861</v>
      </c>
      <c r="AM1" s="1970" t="s">
        <v>1862</v>
      </c>
      <c r="AN1" s="1970" t="s">
        <v>1863</v>
      </c>
      <c r="AO1" s="1970" t="s">
        <v>1864</v>
      </c>
      <c r="AP1" s="1970" t="s">
        <v>1865</v>
      </c>
      <c r="AQ1" s="1970" t="s">
        <v>1866</v>
      </c>
      <c r="AR1" s="1970" t="s">
        <v>1867</v>
      </c>
      <c r="AS1" s="1970" t="s">
        <v>1868</v>
      </c>
      <c r="AT1" s="1970" t="s">
        <v>1869</v>
      </c>
      <c r="AU1" s="1970" t="s">
        <v>1870</v>
      </c>
      <c r="AV1" s="1970" t="s">
        <v>1871</v>
      </c>
      <c r="AW1" s="1970" t="s">
        <v>1872</v>
      </c>
      <c r="AX1" s="1970" t="s">
        <v>1873</v>
      </c>
      <c r="AY1" s="1970" t="s">
        <v>1874</v>
      </c>
      <c r="AZ1" s="1970" t="s">
        <v>1875</v>
      </c>
      <c r="BA1" s="1970" t="s">
        <v>1876</v>
      </c>
      <c r="BB1" s="1970" t="s">
        <v>1877</v>
      </c>
      <c r="BC1" s="1970" t="s">
        <v>1878</v>
      </c>
      <c r="BD1" s="1970" t="s">
        <v>1879</v>
      </c>
      <c r="BE1" s="1970" t="s">
        <v>1880</v>
      </c>
      <c r="BF1" s="1970" t="s">
        <v>1881</v>
      </c>
      <c r="BG1" s="1970" t="s">
        <v>1882</v>
      </c>
      <c r="BH1" s="1970" t="s">
        <v>1883</v>
      </c>
      <c r="BI1" s="1970" t="s">
        <v>1884</v>
      </c>
      <c r="BJ1" s="1970" t="s">
        <v>1885</v>
      </c>
      <c r="BK1" s="1970" t="s">
        <v>1886</v>
      </c>
      <c r="BL1" s="1970" t="s">
        <v>1887</v>
      </c>
      <c r="BM1" s="1970" t="s">
        <v>1888</v>
      </c>
      <c r="BN1" s="1970" t="s">
        <v>1889</v>
      </c>
      <c r="BO1" s="1970" t="s">
        <v>1890</v>
      </c>
      <c r="BP1" s="1970" t="s">
        <v>1891</v>
      </c>
      <c r="BQ1" s="1970" t="s">
        <v>1892</v>
      </c>
      <c r="BR1" s="1970" t="s">
        <v>1893</v>
      </c>
      <c r="BS1" s="1970" t="s">
        <v>1894</v>
      </c>
      <c r="BT1" s="1970" t="s">
        <v>1895</v>
      </c>
      <c r="BU1" s="1970" t="s">
        <v>1896</v>
      </c>
      <c r="BV1" s="1970" t="s">
        <v>1897</v>
      </c>
      <c r="BW1" s="1970" t="s">
        <v>1898</v>
      </c>
      <c r="BX1" s="1970" t="s">
        <v>1899</v>
      </c>
      <c r="BY1" s="1970" t="s">
        <v>1900</v>
      </c>
      <c r="BZ1" s="1970" t="s">
        <v>1901</v>
      </c>
      <c r="CA1" s="1970" t="s">
        <v>1902</v>
      </c>
      <c r="CB1" s="1970" t="s">
        <v>1903</v>
      </c>
      <c r="CC1" s="1970" t="s">
        <v>1904</v>
      </c>
      <c r="CD1" s="1970" t="s">
        <v>1905</v>
      </c>
      <c r="CE1" s="1970" t="s">
        <v>1906</v>
      </c>
      <c r="CF1" s="1970" t="s">
        <v>1907</v>
      </c>
      <c r="CG1" s="1970" t="s">
        <v>1908</v>
      </c>
      <c r="CH1" s="2270" t="s">
        <v>2011</v>
      </c>
      <c r="CI1" s="1970" t="s">
        <v>1909</v>
      </c>
      <c r="CJ1" s="1970" t="s">
        <v>1910</v>
      </c>
      <c r="CK1" s="1970" t="s">
        <v>1911</v>
      </c>
      <c r="CL1" s="1970" t="s">
        <v>1912</v>
      </c>
      <c r="CM1" s="1970" t="s">
        <v>1913</v>
      </c>
      <c r="CN1" s="1970" t="s">
        <v>1914</v>
      </c>
      <c r="CO1" s="1970" t="s">
        <v>1915</v>
      </c>
      <c r="CP1" s="1970" t="s">
        <v>1916</v>
      </c>
      <c r="CQ1" s="1970" t="s">
        <v>1917</v>
      </c>
      <c r="CR1" s="1970" t="s">
        <v>1918</v>
      </c>
      <c r="CS1" s="1970" t="s">
        <v>1919</v>
      </c>
      <c r="CT1" s="1970" t="s">
        <v>1920</v>
      </c>
      <c r="CU1" s="1970" t="s">
        <v>1921</v>
      </c>
      <c r="CV1" s="1970" t="s">
        <v>1922</v>
      </c>
      <c r="CW1" s="1970" t="s">
        <v>1923</v>
      </c>
      <c r="CX1" s="1970" t="s">
        <v>1924</v>
      </c>
      <c r="CY1" s="1970" t="s">
        <v>1925</v>
      </c>
      <c r="CZ1" s="1970" t="s">
        <v>1926</v>
      </c>
      <c r="DA1" s="1970" t="s">
        <v>1927</v>
      </c>
      <c r="DB1" s="1970" t="s">
        <v>1928</v>
      </c>
      <c r="DC1" s="1970" t="s">
        <v>1929</v>
      </c>
      <c r="DD1" s="1970" t="s">
        <v>1930</v>
      </c>
      <c r="DE1" s="1970" t="s">
        <v>1931</v>
      </c>
      <c r="DF1" s="1970" t="s">
        <v>1932</v>
      </c>
      <c r="DG1" s="1970" t="s">
        <v>1933</v>
      </c>
      <c r="DH1" s="1970" t="s">
        <v>1934</v>
      </c>
      <c r="DI1" s="1970" t="s">
        <v>1935</v>
      </c>
      <c r="DJ1" s="1970" t="s">
        <v>1936</v>
      </c>
      <c r="DK1" s="1970" t="s">
        <v>1937</v>
      </c>
      <c r="DL1" s="1970" t="s">
        <v>1938</v>
      </c>
      <c r="DM1" s="1970" t="s">
        <v>1939</v>
      </c>
      <c r="DN1" s="1970" t="s">
        <v>1940</v>
      </c>
      <c r="DO1" s="1970" t="s">
        <v>1941</v>
      </c>
      <c r="DP1" s="1970" t="s">
        <v>1942</v>
      </c>
      <c r="DQ1" s="1970" t="s">
        <v>1943</v>
      </c>
      <c r="DR1" s="1970" t="s">
        <v>1944</v>
      </c>
      <c r="DS1" s="1970" t="s">
        <v>1945</v>
      </c>
      <c r="DT1" s="1970" t="s">
        <v>1946</v>
      </c>
      <c r="DU1" s="2270" t="s">
        <v>2012</v>
      </c>
      <c r="DV1" s="1970" t="s">
        <v>1947</v>
      </c>
      <c r="DW1" s="1970" t="s">
        <v>1948</v>
      </c>
      <c r="DX1" s="1970" t="s">
        <v>1949</v>
      </c>
      <c r="DY1" s="1970" t="s">
        <v>1950</v>
      </c>
      <c r="DZ1" s="1970" t="s">
        <v>1951</v>
      </c>
      <c r="EA1" s="2270" t="s">
        <v>1952</v>
      </c>
      <c r="EB1" s="1970" t="s">
        <v>1953</v>
      </c>
      <c r="EC1" s="1970" t="s">
        <v>1954</v>
      </c>
      <c r="ED1" s="1970" t="s">
        <v>1955</v>
      </c>
      <c r="EE1" s="1970" t="s">
        <v>1956</v>
      </c>
      <c r="EF1" s="1970" t="s">
        <v>1957</v>
      </c>
      <c r="EG1" s="1970" t="s">
        <v>1958</v>
      </c>
      <c r="EH1" s="1970" t="s">
        <v>1959</v>
      </c>
      <c r="EI1" s="1970" t="s">
        <v>1960</v>
      </c>
      <c r="EJ1" s="1970" t="s">
        <v>1961</v>
      </c>
      <c r="EK1" s="1970" t="s">
        <v>1962</v>
      </c>
      <c r="EL1" s="1970" t="s">
        <v>1963</v>
      </c>
      <c r="EM1" s="1970" t="s">
        <v>1964</v>
      </c>
      <c r="EN1" s="1970" t="s">
        <v>1965</v>
      </c>
      <c r="EO1" s="1970" t="s">
        <v>1966</v>
      </c>
      <c r="EP1" s="1970" t="s">
        <v>1967</v>
      </c>
      <c r="EQ1" s="1970" t="s">
        <v>1968</v>
      </c>
      <c r="ER1" s="1970" t="s">
        <v>1969</v>
      </c>
      <c r="ES1" s="1970" t="s">
        <v>1970</v>
      </c>
      <c r="ET1" s="1970" t="s">
        <v>1971</v>
      </c>
      <c r="EU1" s="1970" t="s">
        <v>1972</v>
      </c>
      <c r="EV1" s="1970" t="s">
        <v>1973</v>
      </c>
      <c r="EW1" s="1970" t="s">
        <v>1974</v>
      </c>
      <c r="EX1" s="1970" t="s">
        <v>1975</v>
      </c>
      <c r="EY1" s="1970" t="s">
        <v>1976</v>
      </c>
    </row>
    <row r="2" spans="1:155" x14ac:dyDescent="0.25">
      <c r="A2" s="1970"/>
      <c r="B2" s="2271">
        <f>'6C'!I21</f>
        <v>0</v>
      </c>
      <c r="C2" s="2271">
        <f>'6C'!I22</f>
        <v>0</v>
      </c>
      <c r="D2" s="2271">
        <f>'6C'!I23</f>
        <v>0</v>
      </c>
      <c r="E2" s="2271">
        <f>'6C'!I24</f>
        <v>0</v>
      </c>
      <c r="F2" s="2271">
        <f>'6C'!I25</f>
        <v>0</v>
      </c>
      <c r="G2" s="2271">
        <f>'6C'!I26</f>
        <v>0</v>
      </c>
      <c r="H2" s="2271">
        <f>'6C'!I30</f>
        <v>0</v>
      </c>
      <c r="I2" s="2271">
        <f>'6C'!I31</f>
        <v>0</v>
      </c>
      <c r="J2" s="2271">
        <f>'6C'!I32</f>
        <v>0</v>
      </c>
      <c r="K2" s="2271">
        <f>'6C'!I33</f>
        <v>0</v>
      </c>
      <c r="L2" s="2271">
        <f>'6C'!I34</f>
        <v>0</v>
      </c>
      <c r="M2" s="2271">
        <f>'6C'!I35</f>
        <v>0</v>
      </c>
      <c r="N2" s="2271">
        <f>'6C'!I36</f>
        <v>0</v>
      </c>
      <c r="O2" s="2271">
        <f>'6C'!I37</f>
        <v>0</v>
      </c>
      <c r="P2" s="2271">
        <f>'6C'!I38</f>
        <v>0</v>
      </c>
      <c r="Q2" s="2271">
        <f>'6C'!I39</f>
        <v>0</v>
      </c>
      <c r="R2" s="2271">
        <f>'6C'!I40</f>
        <v>0</v>
      </c>
      <c r="S2" s="2271">
        <f>'6C'!I41</f>
        <v>0</v>
      </c>
      <c r="T2" s="2271">
        <f>'6C'!I42</f>
        <v>0</v>
      </c>
      <c r="U2" s="2271">
        <f>'6C'!I43</f>
        <v>0</v>
      </c>
      <c r="V2" s="2271">
        <f>'6C'!I44</f>
        <v>0</v>
      </c>
      <c r="W2" s="2271">
        <f>'6C'!I45</f>
        <v>0</v>
      </c>
      <c r="X2" s="2271">
        <f>'6C'!I49</f>
        <v>0</v>
      </c>
      <c r="Y2" s="2271">
        <f>'6C'!I50</f>
        <v>0</v>
      </c>
      <c r="Z2" s="2271">
        <f>'6C'!I51</f>
        <v>0</v>
      </c>
      <c r="AA2" s="2271">
        <f>'6C'!I52</f>
        <v>0</v>
      </c>
      <c r="AB2" s="2271">
        <f>'6C'!I53</f>
        <v>0</v>
      </c>
      <c r="AC2" s="2271">
        <f>'6C'!I54</f>
        <v>0</v>
      </c>
      <c r="AD2" s="2271">
        <f>'6C'!I55</f>
        <v>0</v>
      </c>
      <c r="AE2" s="2271">
        <f>'6C'!I56</f>
        <v>0</v>
      </c>
      <c r="AF2" s="2271">
        <f>'6C'!I57</f>
        <v>0</v>
      </c>
      <c r="AG2" s="2271">
        <f>'6C'!I58</f>
        <v>0</v>
      </c>
      <c r="AH2" s="2271">
        <f>'6C'!I59</f>
        <v>0</v>
      </c>
      <c r="AI2" s="2271">
        <f>'6C'!I60</f>
        <v>0</v>
      </c>
      <c r="AJ2" s="2271">
        <f>'6C'!I61</f>
        <v>0</v>
      </c>
      <c r="AK2" s="2271">
        <f>'6C'!I65</f>
        <v>0</v>
      </c>
      <c r="AL2" s="2271">
        <f>'6C'!I66</f>
        <v>0</v>
      </c>
      <c r="AM2" s="2271">
        <f>'6C'!I70</f>
        <v>0</v>
      </c>
      <c r="AN2" s="2271">
        <f>'6C'!I71</f>
        <v>0</v>
      </c>
      <c r="AO2" s="2271">
        <f>'6C'!I72</f>
        <v>0</v>
      </c>
      <c r="AP2" s="2271">
        <f>'6C'!I73</f>
        <v>0</v>
      </c>
      <c r="AQ2" s="2271">
        <f>'6C'!I74</f>
        <v>0</v>
      </c>
      <c r="AR2" s="2271">
        <f>'6C'!I78</f>
        <v>0</v>
      </c>
      <c r="AS2" s="2271">
        <f>'6C'!I79</f>
        <v>0</v>
      </c>
      <c r="AT2" s="2271">
        <f>'6C'!I80</f>
        <v>0</v>
      </c>
      <c r="AU2" s="2271">
        <f>'6C'!I81</f>
        <v>0</v>
      </c>
      <c r="AV2" s="2271">
        <f>'6C'!I82</f>
        <v>0</v>
      </c>
      <c r="AW2" s="2271">
        <f>'6C'!I83</f>
        <v>0</v>
      </c>
      <c r="AX2" s="2271">
        <f>'6C'!I84</f>
        <v>0</v>
      </c>
      <c r="AY2" s="2271">
        <f>'6C'!I85</f>
        <v>0</v>
      </c>
      <c r="AZ2" s="2271">
        <f>'6C'!I89</f>
        <v>0</v>
      </c>
      <c r="BA2" s="2271">
        <f>'6C'!I90</f>
        <v>0</v>
      </c>
      <c r="BB2" s="2271">
        <f>'6C'!I91</f>
        <v>0</v>
      </c>
      <c r="BC2" s="2271">
        <f>'6C'!I95</f>
        <v>0</v>
      </c>
      <c r="BD2" s="2271">
        <f>'6C'!I96</f>
        <v>0</v>
      </c>
      <c r="BE2" s="2271">
        <f>'6C'!I97</f>
        <v>0</v>
      </c>
      <c r="BF2" s="2271">
        <f>'6C'!I98</f>
        <v>0</v>
      </c>
      <c r="BG2" s="2271">
        <f>'6C'!I99</f>
        <v>0</v>
      </c>
      <c r="BH2" s="2271">
        <f>'6C'!I100</f>
        <v>0</v>
      </c>
      <c r="BI2" s="2271">
        <f>'6C'!I101</f>
        <v>0</v>
      </c>
      <c r="BJ2" s="2271">
        <f>'6C'!I102</f>
        <v>0</v>
      </c>
      <c r="BK2" s="2271">
        <f>'6C'!I103</f>
        <v>0</v>
      </c>
      <c r="BL2" s="2271">
        <f>'6C'!I104</f>
        <v>0</v>
      </c>
      <c r="BM2" s="2271">
        <f>'6C'!I105</f>
        <v>0</v>
      </c>
      <c r="BN2" s="2271">
        <f>'6C'!I109</f>
        <v>0</v>
      </c>
      <c r="BO2" s="2271">
        <f>'6C'!I110</f>
        <v>0</v>
      </c>
      <c r="BP2" s="2271">
        <f>'6C'!I111</f>
        <v>0</v>
      </c>
      <c r="BQ2" s="2271">
        <f>'6C'!I112</f>
        <v>0</v>
      </c>
      <c r="BR2" s="2271">
        <f>'6C'!I113</f>
        <v>0</v>
      </c>
      <c r="BS2" s="2271">
        <f>'6C'!I114</f>
        <v>0</v>
      </c>
      <c r="BT2" s="2271">
        <f>'6C'!I115</f>
        <v>0</v>
      </c>
      <c r="BU2" s="2271">
        <f>'6C'!J22</f>
        <v>0</v>
      </c>
      <c r="BV2" s="2271">
        <f>'6C'!J23</f>
        <v>0</v>
      </c>
      <c r="BW2" s="2271">
        <f>'6C'!J24</f>
        <v>0</v>
      </c>
      <c r="BX2" s="2271">
        <f>'6C'!J25</f>
        <v>0</v>
      </c>
      <c r="BY2" s="2271">
        <f>'6C'!J26</f>
        <v>0</v>
      </c>
      <c r="BZ2" s="2271">
        <f>'6C'!J30</f>
        <v>0</v>
      </c>
      <c r="CA2" s="2271">
        <f>'6C'!J31</f>
        <v>0</v>
      </c>
      <c r="CB2" s="2271">
        <f>'6C'!J32</f>
        <v>0</v>
      </c>
      <c r="CC2" s="2271">
        <f>'6C'!J34</f>
        <v>0</v>
      </c>
      <c r="CD2" s="2271">
        <f>'6C'!J34</f>
        <v>0</v>
      </c>
      <c r="CE2" s="2271">
        <f>'6C'!J35</f>
        <v>0</v>
      </c>
      <c r="CF2" s="2271">
        <f>'6C'!J36</f>
        <v>0</v>
      </c>
      <c r="CG2" s="2271">
        <f>'6C'!J37</f>
        <v>0</v>
      </c>
      <c r="CH2" s="2271">
        <f>'6C'!J38</f>
        <v>0</v>
      </c>
      <c r="CI2" s="2271">
        <f>'6C'!J40</f>
        <v>0</v>
      </c>
      <c r="CJ2" s="2271">
        <f>'6C'!J41</f>
        <v>0</v>
      </c>
      <c r="CK2" s="2271">
        <f>'6C'!J42</f>
        <v>0</v>
      </c>
      <c r="CL2" s="2271">
        <f>'6C'!J43</f>
        <v>0</v>
      </c>
      <c r="CM2" s="2271">
        <f>'6C'!J44</f>
        <v>0</v>
      </c>
      <c r="CN2" s="2271">
        <f>'6C'!J45</f>
        <v>0</v>
      </c>
      <c r="CO2" s="2271">
        <f>'6C'!J50</f>
        <v>0</v>
      </c>
      <c r="CP2" s="2271">
        <f>'6C'!J51</f>
        <v>0</v>
      </c>
      <c r="CQ2" s="2271">
        <f>'6C'!J52</f>
        <v>0</v>
      </c>
      <c r="CR2" s="2271">
        <f>'6C'!J53</f>
        <v>0</v>
      </c>
      <c r="CS2" s="2271">
        <f>'6C'!J54</f>
        <v>0</v>
      </c>
      <c r="CT2" s="2271">
        <f>'6C'!J55</f>
        <v>0</v>
      </c>
      <c r="CU2" s="2271">
        <f>'6C'!J56</f>
        <v>0</v>
      </c>
      <c r="CV2" s="2271">
        <f>'6C'!J57</f>
        <v>0</v>
      </c>
      <c r="CW2" s="2271">
        <f>'6C'!J58</f>
        <v>0</v>
      </c>
      <c r="CX2" s="2271">
        <f>'6C'!J59</f>
        <v>0</v>
      </c>
      <c r="CY2" s="2271">
        <f>'6C'!J60</f>
        <v>0</v>
      </c>
      <c r="CZ2" s="2271">
        <f>'6C'!J61</f>
        <v>0</v>
      </c>
      <c r="DA2" s="2271">
        <f>'6C'!J70</f>
        <v>0</v>
      </c>
      <c r="DB2" s="2271">
        <f>'6C'!J71</f>
        <v>0</v>
      </c>
      <c r="DC2" s="2271">
        <f>'6C'!J72</f>
        <v>0</v>
      </c>
      <c r="DD2" s="2271">
        <f>'6C'!J73</f>
        <v>0</v>
      </c>
      <c r="DE2" s="2271">
        <f>'6C'!J95</f>
        <v>0</v>
      </c>
      <c r="DF2" s="2271">
        <f>'6C'!J96</f>
        <v>0</v>
      </c>
      <c r="DG2" s="2271">
        <f>'6C'!J97</f>
        <v>0</v>
      </c>
      <c r="DH2" s="2271">
        <f>'6C'!J98</f>
        <v>0</v>
      </c>
      <c r="DI2" s="2271">
        <f>'6C'!J99</f>
        <v>0</v>
      </c>
      <c r="DJ2" s="2271">
        <f>'6C'!J100</f>
        <v>0</v>
      </c>
      <c r="DK2" s="2271">
        <f>'6C'!J101</f>
        <v>0</v>
      </c>
      <c r="DL2" s="2271">
        <f>'6C'!J103</f>
        <v>0</v>
      </c>
      <c r="DM2" s="2271">
        <f>'6C'!K30</f>
        <v>0</v>
      </c>
      <c r="DN2" s="2271">
        <f>'6C'!K31</f>
        <v>0</v>
      </c>
      <c r="DO2" s="2271">
        <f>'6C'!K32</f>
        <v>0</v>
      </c>
      <c r="DP2" s="2271">
        <f>'6C'!K33</f>
        <v>0</v>
      </c>
      <c r="DQ2" s="2271">
        <f>'6C'!K34</f>
        <v>0</v>
      </c>
      <c r="DR2" s="2271">
        <f>'6C'!K35</f>
        <v>0</v>
      </c>
      <c r="DS2" s="2271">
        <f>'6C'!K36</f>
        <v>0</v>
      </c>
      <c r="DT2" s="2271">
        <f>'6C'!K37</f>
        <v>0</v>
      </c>
      <c r="DU2" s="2271">
        <f>'6C'!K38</f>
        <v>0</v>
      </c>
      <c r="DV2" s="2271">
        <f>'6C'!K40</f>
        <v>0</v>
      </c>
      <c r="DW2" s="2271">
        <f>'6C'!K41</f>
        <v>0</v>
      </c>
      <c r="DX2" s="2271">
        <f>'6C'!K42</f>
        <v>0</v>
      </c>
      <c r="DY2" s="2271">
        <f>'6C'!K43</f>
        <v>0</v>
      </c>
      <c r="DZ2" s="2271">
        <f>'6C'!K44</f>
        <v>0</v>
      </c>
      <c r="EA2" s="2271">
        <f>'6C'!K45</f>
        <v>0</v>
      </c>
      <c r="EB2" s="2271">
        <f>'6C'!K50</f>
        <v>0</v>
      </c>
      <c r="EC2" s="2271">
        <f>'6C'!K51</f>
        <v>0</v>
      </c>
      <c r="ED2" s="2271">
        <f>'6C'!K52</f>
        <v>0</v>
      </c>
      <c r="EE2" s="2271">
        <f>'6C'!K53</f>
        <v>0</v>
      </c>
      <c r="EF2" s="2271">
        <f>'6C'!K54</f>
        <v>0</v>
      </c>
      <c r="EG2" s="2271">
        <f>'6C'!K55</f>
        <v>0</v>
      </c>
      <c r="EH2" s="2271">
        <f>'6C'!K56</f>
        <v>0</v>
      </c>
      <c r="EI2" s="2271">
        <f>'6C'!K57</f>
        <v>0</v>
      </c>
      <c r="EJ2" s="2271">
        <f>'6C'!K58</f>
        <v>0</v>
      </c>
      <c r="EK2" s="2271">
        <f>'6C'!K59</f>
        <v>0</v>
      </c>
      <c r="EL2" s="2271">
        <f>'6C'!K60</f>
        <v>0</v>
      </c>
      <c r="EM2" s="2271">
        <f>'6C'!K61</f>
        <v>0</v>
      </c>
      <c r="EN2" s="2271">
        <f>'6C'!K70</f>
        <v>0</v>
      </c>
      <c r="EO2" s="2271">
        <f>'6C'!K71</f>
        <v>0</v>
      </c>
      <c r="EP2" s="2271">
        <f>'6C'!K72</f>
        <v>0</v>
      </c>
      <c r="EQ2" s="2271">
        <f>'6C'!K73</f>
        <v>0</v>
      </c>
      <c r="ER2" s="2271">
        <f>'6C'!K95</f>
        <v>0</v>
      </c>
      <c r="ES2" s="2271">
        <f>'6C'!K96</f>
        <v>0</v>
      </c>
      <c r="ET2" s="2271">
        <f>'6C'!K97</f>
        <v>0</v>
      </c>
      <c r="EU2" s="2271">
        <f>'6C'!K98</f>
        <v>0</v>
      </c>
      <c r="EV2" s="2271">
        <f>'6C'!K99</f>
        <v>0</v>
      </c>
      <c r="EW2" s="2271">
        <f>'6C'!K100</f>
        <v>0</v>
      </c>
      <c r="EX2" s="2271">
        <f>'6C'!K101</f>
        <v>0</v>
      </c>
      <c r="EY2" s="2271">
        <f>'6C'!K103</f>
        <v>0</v>
      </c>
    </row>
  </sheetData>
  <sheetProtection algorithmName="SHA-512" hashValue="hkWXfWfPC9a2xPPWwhQ507vSVx0MXOtUbl7Vh8sgOHxPHcDemXt5yAIftEiGx8meyYhd8jXIemZsHpoBea8s8g==" saltValue="ug8XNPdNA7+7TFk8l34gMQ=="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5:J54"/>
  <sheetViews>
    <sheetView showGridLines="0" topLeftCell="A13" zoomScaleNormal="100" workbookViewId="0">
      <selection activeCell="J30" sqref="J30"/>
    </sheetView>
  </sheetViews>
  <sheetFormatPr defaultColWidth="9.140625" defaultRowHeight="15" x14ac:dyDescent="0.25"/>
  <cols>
    <col min="1" max="2" width="1.7109375" style="399" customWidth="1"/>
    <col min="3" max="3" width="2.85546875" style="399" customWidth="1"/>
    <col min="4" max="4" width="14.28515625" style="399" customWidth="1"/>
    <col min="5" max="5" width="48.42578125" style="399" customWidth="1"/>
    <col min="6" max="6" width="11.42578125" style="399" customWidth="1"/>
    <col min="7" max="7" width="16" style="399" bestFit="1" customWidth="1"/>
    <col min="8" max="8" width="1.7109375" style="399" customWidth="1"/>
    <col min="9" max="16384" width="9.140625" style="399"/>
  </cols>
  <sheetData>
    <row r="5" spans="2:8" ht="9" customHeight="1" thickBot="1" x14ac:dyDescent="0.3"/>
    <row r="6" spans="2:8" ht="9" customHeight="1" x14ac:dyDescent="0.25">
      <c r="B6" s="514"/>
      <c r="C6" s="515"/>
      <c r="D6" s="515"/>
      <c r="E6" s="516"/>
      <c r="F6" s="516"/>
      <c r="G6" s="516"/>
      <c r="H6" s="517"/>
    </row>
    <row r="7" spans="2:8" ht="18.75" x14ac:dyDescent="0.3">
      <c r="B7" s="518"/>
      <c r="C7" s="2470" t="s">
        <v>1685</v>
      </c>
      <c r="D7" s="2470"/>
      <c r="E7" s="2470"/>
      <c r="F7" s="2470"/>
      <c r="G7" s="2470"/>
      <c r="H7" s="519"/>
    </row>
    <row r="8" spans="2:8" x14ac:dyDescent="0.25">
      <c r="B8" s="518"/>
      <c r="C8" s="520"/>
      <c r="D8" s="520"/>
      <c r="E8" s="521"/>
      <c r="F8" s="521"/>
      <c r="G8" s="521"/>
      <c r="H8" s="519"/>
    </row>
    <row r="9" spans="2:8" ht="15.75" thickBot="1" x14ac:dyDescent="0.3">
      <c r="B9" s="518"/>
      <c r="C9" s="2477" t="str">
        <f>IF('1'!G5="","Enter Project Name on Form 1",(CONCATENATE("Project Name: ",'1'!G5)))</f>
        <v>Enter Project Name on Form 1</v>
      </c>
      <c r="D9" s="2477"/>
      <c r="E9" s="2477"/>
      <c r="F9" s="2477"/>
      <c r="G9" s="491"/>
      <c r="H9" s="522"/>
    </row>
    <row r="10" spans="2:8" x14ac:dyDescent="0.25">
      <c r="B10" s="518"/>
      <c r="C10" s="520"/>
      <c r="D10" s="520"/>
      <c r="E10" s="164"/>
      <c r="F10" s="166"/>
      <c r="G10" s="167"/>
      <c r="H10" s="523"/>
    </row>
    <row r="11" spans="2:8" x14ac:dyDescent="0.25">
      <c r="B11" s="518"/>
      <c r="C11" s="164" t="s">
        <v>245</v>
      </c>
      <c r="D11" s="164"/>
      <c r="E11" s="524"/>
      <c r="F11" s="166"/>
      <c r="G11" s="167"/>
      <c r="H11" s="523"/>
    </row>
    <row r="12" spans="2:8" ht="30" customHeight="1" x14ac:dyDescent="0.25">
      <c r="B12" s="518"/>
      <c r="C12" s="520"/>
      <c r="D12" s="2471" t="s">
        <v>246</v>
      </c>
      <c r="E12" s="2471"/>
      <c r="F12" s="1985" t="s">
        <v>541</v>
      </c>
      <c r="G12" s="524"/>
      <c r="H12" s="523"/>
    </row>
    <row r="13" spans="2:8" ht="15.75" thickBot="1" x14ac:dyDescent="0.3">
      <c r="B13" s="518"/>
      <c r="C13" s="520"/>
      <c r="D13" s="520"/>
      <c r="E13" s="164"/>
      <c r="F13" s="166"/>
      <c r="G13" s="166"/>
      <c r="H13" s="523"/>
    </row>
    <row r="14" spans="2:8" ht="24.75" thickBot="1" x14ac:dyDescent="0.3">
      <c r="B14" s="518"/>
      <c r="C14" s="520"/>
      <c r="D14" s="520"/>
      <c r="E14" s="164"/>
      <c r="F14" s="168" t="s">
        <v>22</v>
      </c>
      <c r="G14" s="169" t="s">
        <v>240</v>
      </c>
      <c r="H14" s="523"/>
    </row>
    <row r="15" spans="2:8" ht="15.75" thickBot="1" x14ac:dyDescent="0.3">
      <c r="B15" s="518"/>
      <c r="C15" s="170" t="s">
        <v>247</v>
      </c>
      <c r="D15" s="170"/>
      <c r="E15" s="171"/>
      <c r="F15" s="525"/>
      <c r="G15" s="525"/>
      <c r="H15" s="523"/>
    </row>
    <row r="16" spans="2:8" x14ac:dyDescent="0.25">
      <c r="B16" s="518"/>
      <c r="C16" s="164"/>
      <c r="D16" s="172" t="s">
        <v>248</v>
      </c>
      <c r="E16" s="524"/>
      <c r="F16" s="935">
        <f>'6C'!J118</f>
        <v>0</v>
      </c>
      <c r="G16" s="173">
        <f>'6C'!K118</f>
        <v>0</v>
      </c>
      <c r="H16" s="523"/>
    </row>
    <row r="17" spans="2:8" x14ac:dyDescent="0.25">
      <c r="B17" s="518"/>
      <c r="C17" s="164"/>
      <c r="D17" s="165" t="s">
        <v>249</v>
      </c>
      <c r="E17" s="524"/>
      <c r="F17" s="931"/>
      <c r="G17" s="930"/>
      <c r="H17" s="523"/>
    </row>
    <row r="18" spans="2:8" x14ac:dyDescent="0.25">
      <c r="B18" s="518"/>
      <c r="C18" s="164"/>
      <c r="D18" s="165" t="s">
        <v>250</v>
      </c>
      <c r="E18" s="524"/>
      <c r="F18" s="931"/>
      <c r="G18" s="932"/>
      <c r="H18" s="523"/>
    </row>
    <row r="19" spans="2:8" ht="30" customHeight="1" x14ac:dyDescent="0.25">
      <c r="B19" s="518"/>
      <c r="C19" s="164"/>
      <c r="D19" s="2471" t="s">
        <v>251</v>
      </c>
      <c r="E19" s="2472"/>
      <c r="F19" s="931"/>
      <c r="G19" s="932"/>
      <c r="H19" s="523"/>
    </row>
    <row r="20" spans="2:8" x14ac:dyDescent="0.25">
      <c r="B20" s="518"/>
      <c r="C20" s="164"/>
      <c r="D20" s="174" t="s">
        <v>252</v>
      </c>
      <c r="E20" s="526"/>
      <c r="F20" s="933"/>
      <c r="G20" s="934"/>
      <c r="H20" s="523"/>
    </row>
    <row r="21" spans="2:8" ht="15.75" thickBot="1" x14ac:dyDescent="0.3">
      <c r="B21" s="518"/>
      <c r="C21" s="164"/>
      <c r="D21" s="172" t="s">
        <v>253</v>
      </c>
      <c r="E21" s="524"/>
      <c r="F21" s="175">
        <f>F16-(SUM(F17:F20))</f>
        <v>0</v>
      </c>
      <c r="G21" s="176">
        <f>G16-(SUM(G18:G20))</f>
        <v>0</v>
      </c>
      <c r="H21" s="523"/>
    </row>
    <row r="22" spans="2:8" ht="15.75" thickBot="1" x14ac:dyDescent="0.3">
      <c r="B22" s="518"/>
      <c r="C22" s="164"/>
      <c r="D22" s="165"/>
      <c r="E22" s="524"/>
      <c r="F22" s="167"/>
      <c r="G22" s="166"/>
      <c r="H22" s="523"/>
    </row>
    <row r="23" spans="2:8" x14ac:dyDescent="0.25">
      <c r="B23" s="518"/>
      <c r="C23" s="164"/>
      <c r="D23" s="166" t="s">
        <v>253</v>
      </c>
      <c r="E23" s="524"/>
      <c r="F23" s="935">
        <f>F21</f>
        <v>0</v>
      </c>
      <c r="G23" s="936">
        <f>G21</f>
        <v>0</v>
      </c>
      <c r="H23" s="523"/>
    </row>
    <row r="24" spans="2:8" x14ac:dyDescent="0.25">
      <c r="B24" s="518"/>
      <c r="C24" s="164"/>
      <c r="D24" s="166" t="s">
        <v>254</v>
      </c>
      <c r="E24" s="524"/>
      <c r="F24" s="937" t="str">
        <f>IF(F21&lt;&gt;0,"100%","")</f>
        <v/>
      </c>
      <c r="G24" s="938" t="str">
        <f>IF(F12="Yes",130%,(IF(F12="No",100%,"")))</f>
        <v/>
      </c>
      <c r="H24" s="523"/>
    </row>
    <row r="25" spans="2:8" x14ac:dyDescent="0.25">
      <c r="B25" s="518"/>
      <c r="C25" s="164"/>
      <c r="D25" s="177" t="s">
        <v>255</v>
      </c>
      <c r="E25" s="526"/>
      <c r="F25" s="1746"/>
      <c r="G25" s="1745"/>
      <c r="H25" s="523"/>
    </row>
    <row r="26" spans="2:8" ht="15.75" thickBot="1" x14ac:dyDescent="0.3">
      <c r="B26" s="518"/>
      <c r="C26" s="164"/>
      <c r="D26" s="178" t="s">
        <v>256</v>
      </c>
      <c r="E26" s="524"/>
      <c r="F26" s="179">
        <f>IFERROR(((F23*F24)*F25),0)</f>
        <v>0</v>
      </c>
      <c r="G26" s="180">
        <f>IFERROR(((G23*G24)*G25),0)</f>
        <v>0</v>
      </c>
      <c r="H26" s="523"/>
    </row>
    <row r="27" spans="2:8" ht="15.75" thickBot="1" x14ac:dyDescent="0.3">
      <c r="B27" s="518"/>
      <c r="C27" s="164"/>
      <c r="D27" s="165"/>
      <c r="E27" s="524"/>
      <c r="F27" s="166"/>
      <c r="G27" s="166"/>
      <c r="H27" s="523"/>
    </row>
    <row r="28" spans="2:8" x14ac:dyDescent="0.25">
      <c r="B28" s="518"/>
      <c r="C28" s="164"/>
      <c r="D28" s="165" t="s">
        <v>256</v>
      </c>
      <c r="E28" s="524"/>
      <c r="F28" s="935">
        <f>F26</f>
        <v>0</v>
      </c>
      <c r="G28" s="936">
        <f>G26</f>
        <v>0</v>
      </c>
      <c r="H28" s="523"/>
    </row>
    <row r="29" spans="2:8" x14ac:dyDescent="0.25">
      <c r="B29" s="518"/>
      <c r="C29" s="164"/>
      <c r="D29" s="174" t="s">
        <v>257</v>
      </c>
      <c r="E29" s="524"/>
      <c r="F29" s="1230">
        <v>3.2199999999999999E-2</v>
      </c>
      <c r="G29" s="1745">
        <v>0.09</v>
      </c>
      <c r="H29" s="523"/>
    </row>
    <row r="30" spans="2:8" ht="15.75" thickBot="1" x14ac:dyDescent="0.3">
      <c r="B30" s="518"/>
      <c r="C30" s="164"/>
      <c r="D30" s="172" t="s">
        <v>258</v>
      </c>
      <c r="E30" s="524"/>
      <c r="F30" s="175">
        <f>F28*F29</f>
        <v>0</v>
      </c>
      <c r="G30" s="176">
        <f>G28*G29</f>
        <v>0</v>
      </c>
      <c r="H30" s="523"/>
    </row>
    <row r="31" spans="2:8" ht="15" customHeight="1" thickBot="1" x14ac:dyDescent="0.3">
      <c r="B31" s="518"/>
      <c r="C31" s="164"/>
      <c r="D31" s="165"/>
      <c r="E31" s="524"/>
      <c r="F31" s="166"/>
      <c r="G31" s="166"/>
      <c r="H31" s="523"/>
    </row>
    <row r="32" spans="2:8" ht="15.75" thickBot="1" x14ac:dyDescent="0.3">
      <c r="B32" s="518"/>
      <c r="C32" s="164"/>
      <c r="D32" s="172" t="s">
        <v>508</v>
      </c>
      <c r="E32" s="524"/>
      <c r="F32" s="166"/>
      <c r="G32" s="181">
        <f>F30+G30</f>
        <v>0</v>
      </c>
      <c r="H32" s="523"/>
    </row>
    <row r="33" spans="2:10" x14ac:dyDescent="0.25">
      <c r="B33" s="518"/>
      <c r="C33" s="164"/>
      <c r="D33" s="164"/>
      <c r="E33" s="165"/>
      <c r="F33" s="166"/>
      <c r="G33" s="166"/>
      <c r="H33" s="523"/>
    </row>
    <row r="34" spans="2:10" ht="15.75" thickBot="1" x14ac:dyDescent="0.3">
      <c r="B34" s="518"/>
      <c r="C34" s="182" t="s">
        <v>259</v>
      </c>
      <c r="D34" s="182"/>
      <c r="E34" s="183"/>
      <c r="F34" s="184"/>
      <c r="G34" s="185"/>
      <c r="H34" s="523"/>
    </row>
    <row r="35" spans="2:10" x14ac:dyDescent="0.25">
      <c r="B35" s="518"/>
      <c r="C35" s="164"/>
      <c r="D35" s="165" t="s">
        <v>532</v>
      </c>
      <c r="E35" s="524"/>
      <c r="F35" s="166"/>
      <c r="G35" s="939">
        <f>'6A'!K120</f>
        <v>0</v>
      </c>
      <c r="H35" s="186"/>
    </row>
    <row r="36" spans="2:10" x14ac:dyDescent="0.25">
      <c r="B36" s="518"/>
      <c r="C36" s="164"/>
      <c r="D36" s="174" t="s">
        <v>1766</v>
      </c>
      <c r="E36" s="527"/>
      <c r="F36" s="359"/>
      <c r="G36" s="940">
        <f>-((SUMIF('7A'!D27:D32,"&lt;&gt;Tax Credits*",'7A'!E27:E32))+(SUMIF('7A'!D27:D32,"&lt;&gt;Tax Credits*",'7A'!F27:F32)))</f>
        <v>0</v>
      </c>
      <c r="H36" s="523"/>
    </row>
    <row r="37" spans="2:10" ht="15.75" thickBot="1" x14ac:dyDescent="0.3">
      <c r="B37" s="518"/>
      <c r="C37" s="164"/>
      <c r="D37" s="172" t="s">
        <v>260</v>
      </c>
      <c r="E37" s="524"/>
      <c r="F37" s="178"/>
      <c r="G37" s="187">
        <f>G35+G36</f>
        <v>0</v>
      </c>
      <c r="H37" s="523"/>
    </row>
    <row r="38" spans="2:10" ht="15.75" thickBot="1" x14ac:dyDescent="0.3">
      <c r="B38" s="518"/>
      <c r="C38" s="164"/>
      <c r="D38" s="165"/>
      <c r="E38" s="524"/>
      <c r="F38" s="166"/>
      <c r="G38" s="167"/>
      <c r="H38" s="523"/>
    </row>
    <row r="39" spans="2:10" x14ac:dyDescent="0.25">
      <c r="B39" s="518"/>
      <c r="C39" s="164"/>
      <c r="D39" s="165" t="s">
        <v>260</v>
      </c>
      <c r="E39" s="524"/>
      <c r="F39" s="166"/>
      <c r="G39" s="939">
        <f>G37</f>
        <v>0</v>
      </c>
      <c r="H39" s="523"/>
    </row>
    <row r="40" spans="2:10" ht="15.75" thickBot="1" x14ac:dyDescent="0.3">
      <c r="B40" s="518"/>
      <c r="C40" s="164"/>
      <c r="D40" s="165" t="s">
        <v>1448</v>
      </c>
      <c r="E40" s="524"/>
      <c r="F40" s="166"/>
      <c r="G40" s="941"/>
      <c r="H40" s="523"/>
      <c r="J40" s="396"/>
    </row>
    <row r="41" spans="2:10" ht="15.75" thickBot="1" x14ac:dyDescent="0.3">
      <c r="B41" s="518"/>
      <c r="C41" s="164"/>
      <c r="D41" s="188" t="s">
        <v>261</v>
      </c>
      <c r="E41" s="527"/>
      <c r="F41" s="177"/>
      <c r="G41" s="715">
        <v>10</v>
      </c>
      <c r="H41" s="523"/>
    </row>
    <row r="42" spans="2:10" ht="15.75" thickBot="1" x14ac:dyDescent="0.3">
      <c r="B42" s="518"/>
      <c r="C42" s="164"/>
      <c r="D42" s="189" t="s">
        <v>262</v>
      </c>
      <c r="E42" s="524"/>
      <c r="F42" s="166"/>
      <c r="G42" s="190">
        <f>IFERROR(((G39/G40)/10),0)</f>
        <v>0</v>
      </c>
      <c r="H42" s="523"/>
    </row>
    <row r="43" spans="2:10" x14ac:dyDescent="0.25">
      <c r="B43" s="518"/>
      <c r="C43" s="164"/>
      <c r="D43" s="164"/>
      <c r="E43" s="165"/>
      <c r="F43" s="166"/>
      <c r="G43" s="167"/>
      <c r="H43" s="523"/>
    </row>
    <row r="44" spans="2:10" x14ac:dyDescent="0.25">
      <c r="B44" s="518"/>
      <c r="C44" s="164" t="s">
        <v>263</v>
      </c>
      <c r="D44" s="164"/>
      <c r="E44" s="165"/>
      <c r="F44" s="166"/>
      <c r="G44" s="681" t="s">
        <v>541</v>
      </c>
      <c r="H44" s="523"/>
    </row>
    <row r="45" spans="2:10" x14ac:dyDescent="0.25">
      <c r="B45" s="518"/>
      <c r="C45" s="164"/>
      <c r="D45" s="164"/>
      <c r="E45" s="165"/>
      <c r="F45" s="166"/>
      <c r="G45" s="167"/>
      <c r="H45" s="523"/>
    </row>
    <row r="46" spans="2:10" ht="15.75" thickBot="1" x14ac:dyDescent="0.3">
      <c r="B46" s="518"/>
      <c r="C46" s="182" t="s">
        <v>264</v>
      </c>
      <c r="D46" s="182"/>
      <c r="E46" s="183"/>
      <c r="F46" s="184"/>
      <c r="G46" s="166"/>
      <c r="H46" s="191"/>
    </row>
    <row r="47" spans="2:10" x14ac:dyDescent="0.25">
      <c r="B47" s="518"/>
      <c r="C47" s="164"/>
      <c r="D47" s="165" t="s">
        <v>1808</v>
      </c>
      <c r="E47" s="524"/>
      <c r="F47" s="166"/>
      <c r="G47" s="1535">
        <f>'2A'!I22</f>
        <v>0</v>
      </c>
      <c r="H47" s="191"/>
    </row>
    <row r="48" spans="2:10" x14ac:dyDescent="0.25">
      <c r="B48" s="518"/>
      <c r="C48" s="164"/>
      <c r="D48" s="174" t="s">
        <v>1767</v>
      </c>
      <c r="E48" s="527"/>
      <c r="F48" s="359"/>
      <c r="G48" s="940">
        <f>IF(G44="Yes",Tax_Credit_Numbers!C5,(IF(G44="No",Tax_Credit_Numbers!C6,)))</f>
        <v>0</v>
      </c>
      <c r="H48" s="191"/>
    </row>
    <row r="49" spans="2:8" ht="15.75" thickBot="1" x14ac:dyDescent="0.3">
      <c r="B49" s="518"/>
      <c r="C49" s="164"/>
      <c r="D49" s="172" t="s">
        <v>265</v>
      </c>
      <c r="E49" s="524"/>
      <c r="F49" s="166"/>
      <c r="G49" s="190">
        <f>G47*G48</f>
        <v>0</v>
      </c>
      <c r="H49" s="191"/>
    </row>
    <row r="50" spans="2:8" ht="15.75" thickBot="1" x14ac:dyDescent="0.3">
      <c r="B50" s="518"/>
      <c r="C50" s="520"/>
      <c r="D50" s="520"/>
      <c r="E50" s="164"/>
      <c r="F50" s="166"/>
      <c r="G50" s="166"/>
      <c r="H50" s="186"/>
    </row>
    <row r="51" spans="2:8" s="1274" customFormat="1" ht="20.25" thickTop="1" thickBot="1" x14ac:dyDescent="0.35">
      <c r="B51" s="1271"/>
      <c r="C51" s="1272"/>
      <c r="D51" s="1272"/>
      <c r="E51" s="2473" t="s">
        <v>266</v>
      </c>
      <c r="F51" s="2474"/>
      <c r="G51" s="1275">
        <f>MIN(G32,G42,G49)</f>
        <v>0</v>
      </c>
      <c r="H51" s="1273"/>
    </row>
    <row r="52" spans="2:8" ht="7.5" customHeight="1" thickBot="1" x14ac:dyDescent="0.3">
      <c r="B52" s="1536"/>
      <c r="C52" s="524"/>
      <c r="D52" s="524"/>
      <c r="E52" s="524"/>
      <c r="F52" s="524"/>
      <c r="G52" s="524"/>
      <c r="H52" s="1537"/>
    </row>
    <row r="53" spans="2:8" ht="15.75" thickBot="1" x14ac:dyDescent="0.3">
      <c r="B53" s="1536"/>
      <c r="C53" s="524"/>
      <c r="D53" s="524"/>
      <c r="E53" s="2475" t="str">
        <f ca="1">IF((SUMIF('7A'!D27:D33,"Tax Credits*",'7A'!E27:E32))&lt;G53,"Expected LIHTC Equity - ENTER ON FORM 7A","Expected LIHTC Equity")</f>
        <v>Expected LIHTC Equity</v>
      </c>
      <c r="F53" s="2476"/>
      <c r="G53" s="1276">
        <f>ROUND((G51*G40*10),2)</f>
        <v>0</v>
      </c>
      <c r="H53" s="1537"/>
    </row>
    <row r="54" spans="2:8" ht="15.75" thickBot="1" x14ac:dyDescent="0.3">
      <c r="B54" s="528"/>
      <c r="C54" s="529"/>
      <c r="D54" s="529"/>
      <c r="E54" s="2203"/>
      <c r="F54" s="2203"/>
      <c r="G54" s="2203"/>
      <c r="H54" s="530"/>
    </row>
  </sheetData>
  <sheetProtection algorithmName="SHA-512" hashValue="TTS5GzwuUFjjqar2ILM0B6h0oxHGXwzvYirK2Plfny2HwsqNsFSTZuS/wqQYpS1RjkxdbjObjX9DtapCEbYQRA==" saltValue="fj+iczmTfjMqHk33GpMPtA==" spinCount="100000" sheet="1" formatCells="0" formatColumns="0" formatRows="0"/>
  <mergeCells count="6">
    <mergeCell ref="C7:G7"/>
    <mergeCell ref="D19:E19"/>
    <mergeCell ref="D12:E12"/>
    <mergeCell ref="E51:F51"/>
    <mergeCell ref="E53:F53"/>
    <mergeCell ref="C9:F9"/>
  </mergeCells>
  <conditionalFormatting sqref="E53:F53">
    <cfRule type="containsText" dxfId="54" priority="1" operator="containsText" text="ENTER">
      <formula>NOT(ISERROR(SEARCH("ENTER",E53)))</formula>
    </cfRule>
  </conditionalFormatting>
  <dataValidations count="2">
    <dataValidation type="list" allowBlank="1" showInputMessage="1" showErrorMessage="1" promptTitle="Basis Boost" prompt="Select &quot;Yes&quot; or &quot;No&quot; for form to calculate correctly" sqref="F12" xr:uid="{00000000-0002-0000-1200-000000000000}">
      <formula1>"Select…,Yes,No"</formula1>
    </dataValidation>
    <dataValidation type="list" allowBlank="1" showInputMessage="1" showErrorMessage="1" sqref="G44" xr:uid="{00000000-0002-0000-1200-000001000000}">
      <formula1>"Select…,Yes,No"</formula1>
    </dataValidation>
  </dataValidations>
  <pageMargins left="0.7" right="0.4" top="0.7" bottom="0.7" header="0.3" footer="0.3"/>
  <pageSetup scale="90" orientation="portrait" r:id="rId1"/>
  <headerFooter>
    <oddFooter>&amp;LForm 6D
LIHTC Calculation&amp;CCFA Forms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4:G12"/>
  <sheetViews>
    <sheetView workbookViewId="0">
      <selection activeCell="C5" sqref="C5"/>
    </sheetView>
  </sheetViews>
  <sheetFormatPr defaultRowHeight="15" x14ac:dyDescent="0.25"/>
  <cols>
    <col min="2" max="2" width="21.85546875" bestFit="1" customWidth="1"/>
    <col min="3" max="7" width="10" bestFit="1" customWidth="1"/>
  </cols>
  <sheetData>
    <row r="4" spans="2:7" x14ac:dyDescent="0.25">
      <c r="B4" t="s">
        <v>1770</v>
      </c>
    </row>
    <row r="5" spans="2:7" x14ac:dyDescent="0.25">
      <c r="B5" t="s">
        <v>1771</v>
      </c>
      <c r="C5" s="2154">
        <v>24580</v>
      </c>
    </row>
    <row r="6" spans="2:7" x14ac:dyDescent="0.25">
      <c r="B6" t="s">
        <v>1772</v>
      </c>
      <c r="C6" s="2154">
        <v>18946</v>
      </c>
    </row>
    <row r="8" spans="2:7" x14ac:dyDescent="0.25">
      <c r="C8" t="s">
        <v>1777</v>
      </c>
      <c r="D8" t="s">
        <v>1773</v>
      </c>
      <c r="E8" t="s">
        <v>1774</v>
      </c>
      <c r="F8" t="s">
        <v>1775</v>
      </c>
      <c r="G8" t="s">
        <v>1776</v>
      </c>
    </row>
    <row r="9" spans="2:7" x14ac:dyDescent="0.25">
      <c r="B9" t="s">
        <v>1312</v>
      </c>
      <c r="C9" s="2154">
        <v>259533</v>
      </c>
      <c r="D9" s="2154">
        <v>300380</v>
      </c>
      <c r="E9" s="2154">
        <v>319196</v>
      </c>
      <c r="F9" s="2154">
        <v>357978</v>
      </c>
      <c r="G9" s="2154">
        <v>394343</v>
      </c>
    </row>
    <row r="10" spans="2:7" x14ac:dyDescent="0.25">
      <c r="B10" t="s">
        <v>1458</v>
      </c>
      <c r="C10" s="2154">
        <v>249769</v>
      </c>
      <c r="D10" s="2154">
        <v>291367</v>
      </c>
      <c r="E10" s="2154">
        <v>308560</v>
      </c>
      <c r="F10" s="2154">
        <v>347238</v>
      </c>
      <c r="G10" s="2154">
        <v>382514</v>
      </c>
    </row>
    <row r="11" spans="2:7" x14ac:dyDescent="0.25">
      <c r="B11" t="s">
        <v>1459</v>
      </c>
      <c r="C11" s="2154">
        <v>241635</v>
      </c>
      <c r="D11" s="2154">
        <v>272613</v>
      </c>
      <c r="E11" s="2154">
        <v>298315</v>
      </c>
      <c r="F11" s="2154">
        <v>344210</v>
      </c>
      <c r="G11" s="2154">
        <v>379176</v>
      </c>
    </row>
    <row r="12" spans="2:7" x14ac:dyDescent="0.25">
      <c r="B12" t="s">
        <v>1460</v>
      </c>
      <c r="C12" s="2154">
        <v>175251</v>
      </c>
      <c r="D12" s="2154">
        <v>197320</v>
      </c>
      <c r="E12" s="2154">
        <v>223661</v>
      </c>
      <c r="F12" s="2154">
        <v>290517</v>
      </c>
      <c r="G12" s="2154">
        <v>319689</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AA2"/>
  <sheetViews>
    <sheetView workbookViewId="0">
      <selection activeCell="A2" sqref="A2"/>
    </sheetView>
  </sheetViews>
  <sheetFormatPr defaultRowHeight="15" x14ac:dyDescent="0.25"/>
  <sheetData>
    <row r="1" spans="1:27" x14ac:dyDescent="0.25">
      <c r="A1" s="2270" t="s">
        <v>1977</v>
      </c>
      <c r="B1" s="2270" t="s">
        <v>1978</v>
      </c>
      <c r="C1" s="2270" t="s">
        <v>1979</v>
      </c>
      <c r="D1" s="2270" t="s">
        <v>1980</v>
      </c>
      <c r="E1" s="2272" t="s">
        <v>1981</v>
      </c>
      <c r="F1" s="2272" t="s">
        <v>1982</v>
      </c>
      <c r="G1" s="1970" t="s">
        <v>1983</v>
      </c>
      <c r="H1" s="1970" t="s">
        <v>1984</v>
      </c>
      <c r="I1" s="1970" t="s">
        <v>1985</v>
      </c>
      <c r="J1" s="1970" t="s">
        <v>1986</v>
      </c>
      <c r="K1" s="2273" t="s">
        <v>1987</v>
      </c>
      <c r="L1" s="2274" t="s">
        <v>1988</v>
      </c>
      <c r="M1" s="1970" t="s">
        <v>1989</v>
      </c>
      <c r="N1" s="1970" t="s">
        <v>1990</v>
      </c>
      <c r="O1" s="1970" t="s">
        <v>1991</v>
      </c>
      <c r="P1" s="2273" t="s">
        <v>1992</v>
      </c>
      <c r="Q1" s="2274" t="s">
        <v>1993</v>
      </c>
      <c r="R1" s="1970" t="s">
        <v>1994</v>
      </c>
      <c r="S1" s="1970" t="s">
        <v>1995</v>
      </c>
      <c r="T1" s="1970" t="s">
        <v>1996</v>
      </c>
      <c r="U1" s="1970" t="s">
        <v>1997</v>
      </c>
      <c r="V1" s="1970" t="s">
        <v>1998</v>
      </c>
      <c r="W1" s="1970" t="s">
        <v>1999</v>
      </c>
      <c r="X1" s="1970" t="s">
        <v>2000</v>
      </c>
      <c r="Y1" s="1970" t="s">
        <v>2001</v>
      </c>
      <c r="Z1" s="1970" t="s">
        <v>2002</v>
      </c>
      <c r="AA1" s="1970" t="s">
        <v>2003</v>
      </c>
    </row>
    <row r="2" spans="1:27" x14ac:dyDescent="0.25">
      <c r="A2" s="1970"/>
      <c r="B2" s="1970" t="s">
        <v>2004</v>
      </c>
      <c r="C2" s="1970" t="s">
        <v>2004</v>
      </c>
      <c r="D2" s="1970"/>
      <c r="E2" s="2271" t="str">
        <f>'6D'!F12</f>
        <v>Select…</v>
      </c>
      <c r="F2" s="1970">
        <f>'6D'!G40</f>
        <v>0</v>
      </c>
      <c r="G2" s="2271">
        <f>'6D'!F17</f>
        <v>0</v>
      </c>
      <c r="H2" s="2271">
        <f>'6D'!F18</f>
        <v>0</v>
      </c>
      <c r="I2" s="2271">
        <f>'6D'!F19</f>
        <v>0</v>
      </c>
      <c r="J2" s="2271">
        <f>'6D'!F20</f>
        <v>0</v>
      </c>
      <c r="K2" s="2273">
        <f>('6D'!F25)*100</f>
        <v>0</v>
      </c>
      <c r="L2" s="2273">
        <f>('6D'!F29)*100</f>
        <v>3.2199999999999998</v>
      </c>
      <c r="M2" s="2271">
        <f>'6D'!G18</f>
        <v>0</v>
      </c>
      <c r="N2" s="2271">
        <f>'6D'!G19</f>
        <v>0</v>
      </c>
      <c r="O2" s="2271">
        <f>'6D'!G20</f>
        <v>0</v>
      </c>
      <c r="P2" s="2273">
        <f>('6D'!G25)*100</f>
        <v>0</v>
      </c>
      <c r="Q2" s="2273">
        <f>('6D'!G29)*100</f>
        <v>9</v>
      </c>
      <c r="R2" s="2271">
        <f>'6D'!G37</f>
        <v>0</v>
      </c>
      <c r="S2" s="2271">
        <f>'6D'!G39</f>
        <v>0</v>
      </c>
      <c r="T2" s="1970">
        <f>'6D'!G47</f>
        <v>0</v>
      </c>
      <c r="U2" s="2271">
        <f>'6D'!G48</f>
        <v>0</v>
      </c>
      <c r="V2" s="1970"/>
      <c r="W2" s="1970"/>
      <c r="X2" s="1970"/>
      <c r="Y2" s="1970"/>
      <c r="Z2" s="1970"/>
      <c r="AA2" s="1970"/>
    </row>
  </sheetData>
  <sheetProtection algorithmName="SHA-512" hashValue="TlBzb/4AUtueKwwZlMHepghL8O01RU4yRBwWzaVc/5SrAD93vIj2UM0GGPerAq4e5l4SASGu6YX0LlwXh2zbpw==" saltValue="saYg+oqHITzyTy4MGgHGWQ=="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6:O66"/>
  <sheetViews>
    <sheetView showGridLines="0" zoomScaleNormal="100" workbookViewId="0">
      <selection activeCell="H33" sqref="H33"/>
    </sheetView>
  </sheetViews>
  <sheetFormatPr defaultColWidth="9.140625" defaultRowHeight="15" x14ac:dyDescent="0.25"/>
  <cols>
    <col min="1" max="2" width="1.7109375" style="395" customWidth="1"/>
    <col min="3" max="3" width="2.85546875" style="395" customWidth="1"/>
    <col min="4" max="4" width="14.28515625" style="395" customWidth="1"/>
    <col min="5" max="5" width="9.140625" style="395"/>
    <col min="6" max="6" width="4.28515625" style="395" customWidth="1"/>
    <col min="7" max="7" width="11.42578125" style="395" customWidth="1"/>
    <col min="8" max="8" width="12.28515625" style="395" bestFit="1" customWidth="1"/>
    <col min="9" max="9" width="31.42578125" style="414" customWidth="1"/>
    <col min="10" max="10" width="1.7109375" style="414" customWidth="1"/>
    <col min="11" max="16384" width="9.140625" style="395"/>
  </cols>
  <sheetData>
    <row r="6" spans="2:10" ht="15.75" thickBot="1" x14ac:dyDescent="0.3"/>
    <row r="7" spans="2:10" s="414" customFormat="1" x14ac:dyDescent="0.25">
      <c r="B7" s="533"/>
      <c r="C7" s="636"/>
      <c r="D7" s="636"/>
      <c r="E7" s="636"/>
      <c r="F7" s="636"/>
      <c r="G7" s="636"/>
      <c r="H7" s="636"/>
      <c r="I7" s="636"/>
      <c r="J7" s="534"/>
    </row>
    <row r="8" spans="2:10" s="414" customFormat="1" ht="18.75" x14ac:dyDescent="0.3">
      <c r="B8" s="535"/>
      <c r="C8" s="2293" t="s">
        <v>533</v>
      </c>
      <c r="D8" s="2293"/>
      <c r="E8" s="2293"/>
      <c r="F8" s="2293"/>
      <c r="G8" s="2293"/>
      <c r="H8" s="2293"/>
      <c r="I8" s="2293"/>
      <c r="J8" s="536"/>
    </row>
    <row r="9" spans="2:10" s="414" customFormat="1" x14ac:dyDescent="0.25">
      <c r="B9" s="535"/>
      <c r="C9" s="422"/>
      <c r="D9" s="422"/>
      <c r="E9" s="422"/>
      <c r="F9" s="422"/>
      <c r="G9" s="422"/>
      <c r="H9" s="422"/>
      <c r="I9" s="422"/>
      <c r="J9" s="536"/>
    </row>
    <row r="10" spans="2:10" s="414" customFormat="1" ht="15.75" thickBot="1" x14ac:dyDescent="0.3">
      <c r="B10" s="535"/>
      <c r="C10" s="2439" t="str">
        <f>IF('1'!G5="","Enter Project Name on Form 1",(CONCATENATE("Project Name: ",'1'!G5)))</f>
        <v>Enter Project Name on Form 1</v>
      </c>
      <c r="D10" s="2439"/>
      <c r="E10" s="2439"/>
      <c r="F10" s="2439"/>
      <c r="G10" s="2439"/>
      <c r="H10" s="2439"/>
      <c r="I10" s="2439"/>
      <c r="J10" s="536"/>
    </row>
    <row r="11" spans="2:10" s="414" customFormat="1" ht="15" customHeight="1" thickBot="1" x14ac:dyDescent="0.3">
      <c r="B11" s="535"/>
      <c r="C11" s="422"/>
      <c r="D11" s="422"/>
      <c r="E11" s="422"/>
      <c r="F11" s="422"/>
      <c r="G11" s="422"/>
      <c r="H11" s="422"/>
      <c r="I11" s="422"/>
      <c r="J11" s="536"/>
    </row>
    <row r="12" spans="2:10" s="414" customFormat="1" ht="15.75" thickBot="1" x14ac:dyDescent="0.3">
      <c r="B12" s="535"/>
      <c r="C12" s="537" t="s">
        <v>267</v>
      </c>
      <c r="D12" s="694"/>
      <c r="E12" s="694"/>
      <c r="F12" s="691" t="s">
        <v>268</v>
      </c>
      <c r="G12" s="692" t="s">
        <v>269</v>
      </c>
      <c r="H12" s="692" t="s">
        <v>85</v>
      </c>
      <c r="I12" s="690" t="s">
        <v>270</v>
      </c>
      <c r="J12" s="639"/>
    </row>
    <row r="13" spans="2:10" s="414" customFormat="1" ht="15.75" thickBot="1" x14ac:dyDescent="0.3">
      <c r="B13" s="535"/>
      <c r="C13" s="538" t="s">
        <v>271</v>
      </c>
      <c r="D13" s="538"/>
      <c r="E13" s="538"/>
      <c r="F13" s="143"/>
      <c r="G13" s="143"/>
      <c r="H13" s="422"/>
      <c r="I13" s="422"/>
      <c r="J13" s="536"/>
    </row>
    <row r="14" spans="2:10" s="414" customFormat="1" ht="15.75" thickBot="1" x14ac:dyDescent="0.3">
      <c r="B14" s="535"/>
      <c r="C14" s="68"/>
      <c r="D14" s="68" t="s">
        <v>272</v>
      </c>
      <c r="E14" s="68"/>
      <c r="F14" s="693"/>
      <c r="G14" s="1971"/>
      <c r="H14" s="682">
        <f>F14*G14</f>
        <v>0</v>
      </c>
      <c r="I14" s="683"/>
      <c r="J14" s="536"/>
    </row>
    <row r="15" spans="2:10" s="414" customFormat="1" ht="15.75" thickBot="1" x14ac:dyDescent="0.3">
      <c r="B15" s="535"/>
      <c r="C15" s="68"/>
      <c r="D15" s="68"/>
      <c r="E15" s="68"/>
      <c r="F15" s="539"/>
      <c r="G15" s="540"/>
      <c r="H15" s="684">
        <f>H14</f>
        <v>0</v>
      </c>
      <c r="I15" s="685"/>
      <c r="J15" s="536"/>
    </row>
    <row r="16" spans="2:10" s="414" customFormat="1" ht="3.75" customHeight="1" x14ac:dyDescent="0.25">
      <c r="B16" s="535"/>
      <c r="C16" s="68"/>
      <c r="D16" s="68"/>
      <c r="E16" s="68"/>
      <c r="F16" s="143"/>
      <c r="G16" s="143"/>
      <c r="H16" s="422"/>
      <c r="I16" s="422"/>
      <c r="J16" s="536"/>
    </row>
    <row r="17" spans="2:10" s="414" customFormat="1" ht="15.75" thickBot="1" x14ac:dyDescent="0.3">
      <c r="B17" s="535"/>
      <c r="C17" s="538" t="s">
        <v>273</v>
      </c>
      <c r="D17" s="538"/>
      <c r="E17" s="538"/>
      <c r="F17" s="143"/>
      <c r="G17" s="143"/>
      <c r="H17" s="422"/>
      <c r="I17" s="422"/>
      <c r="J17" s="536"/>
    </row>
    <row r="18" spans="2:10" s="414" customFormat="1" x14ac:dyDescent="0.25">
      <c r="B18" s="535"/>
      <c r="C18" s="68"/>
      <c r="D18" s="68" t="s">
        <v>274</v>
      </c>
      <c r="E18" s="68"/>
      <c r="F18" s="942"/>
      <c r="G18" s="1972"/>
      <c r="H18" s="943">
        <f t="shared" ref="H18:H25" si="0">F18*G18</f>
        <v>0</v>
      </c>
      <c r="I18" s="944"/>
      <c r="J18" s="536"/>
    </row>
    <row r="19" spans="2:10" s="414" customFormat="1" x14ac:dyDescent="0.25">
      <c r="B19" s="535"/>
      <c r="C19" s="68"/>
      <c r="D19" s="68" t="s">
        <v>275</v>
      </c>
      <c r="E19" s="68"/>
      <c r="F19" s="945"/>
      <c r="G19" s="1973"/>
      <c r="H19" s="946">
        <f t="shared" si="0"/>
        <v>0</v>
      </c>
      <c r="I19" s="947"/>
      <c r="J19" s="536"/>
    </row>
    <row r="20" spans="2:10" s="414" customFormat="1" x14ac:dyDescent="0.25">
      <c r="B20" s="535"/>
      <c r="C20" s="68"/>
      <c r="D20" s="68" t="s">
        <v>276</v>
      </c>
      <c r="E20" s="68"/>
      <c r="F20" s="945"/>
      <c r="G20" s="1973"/>
      <c r="H20" s="946">
        <f t="shared" si="0"/>
        <v>0</v>
      </c>
      <c r="I20" s="947"/>
      <c r="J20" s="536"/>
    </row>
    <row r="21" spans="2:10" s="414" customFormat="1" x14ac:dyDescent="0.25">
      <c r="B21" s="535"/>
      <c r="C21" s="68"/>
      <c r="D21" s="68" t="s">
        <v>104</v>
      </c>
      <c r="E21" s="68"/>
      <c r="F21" s="945"/>
      <c r="G21" s="1973"/>
      <c r="H21" s="946">
        <f t="shared" si="0"/>
        <v>0</v>
      </c>
      <c r="I21" s="947"/>
      <c r="J21" s="536"/>
    </row>
    <row r="22" spans="2:10" s="414" customFormat="1" x14ac:dyDescent="0.25">
      <c r="B22" s="535"/>
      <c r="C22" s="68"/>
      <c r="D22" s="68" t="s">
        <v>277</v>
      </c>
      <c r="E22" s="68"/>
      <c r="F22" s="945"/>
      <c r="G22" s="1973"/>
      <c r="H22" s="946">
        <f t="shared" si="0"/>
        <v>0</v>
      </c>
      <c r="I22" s="947"/>
      <c r="J22" s="536"/>
    </row>
    <row r="23" spans="2:10" s="414" customFormat="1" x14ac:dyDescent="0.25">
      <c r="B23" s="535"/>
      <c r="C23" s="68"/>
      <c r="D23" s="68" t="s">
        <v>278</v>
      </c>
      <c r="E23" s="68"/>
      <c r="F23" s="945"/>
      <c r="G23" s="1973"/>
      <c r="H23" s="946">
        <f t="shared" si="0"/>
        <v>0</v>
      </c>
      <c r="I23" s="947"/>
      <c r="J23" s="536"/>
    </row>
    <row r="24" spans="2:10" s="414" customFormat="1" x14ac:dyDescent="0.25">
      <c r="B24" s="535"/>
      <c r="C24" s="68"/>
      <c r="D24" s="68" t="s">
        <v>234</v>
      </c>
      <c r="E24" s="68"/>
      <c r="F24" s="945"/>
      <c r="G24" s="1973"/>
      <c r="H24" s="946">
        <f t="shared" si="0"/>
        <v>0</v>
      </c>
      <c r="I24" s="947"/>
      <c r="J24" s="536"/>
    </row>
    <row r="25" spans="2:10" s="414" customFormat="1" ht="15.75" thickBot="1" x14ac:dyDescent="0.3">
      <c r="B25" s="535"/>
      <c r="C25" s="68"/>
      <c r="D25" s="68" t="s">
        <v>279</v>
      </c>
      <c r="E25" s="68"/>
      <c r="F25" s="948"/>
      <c r="G25" s="1974"/>
      <c r="H25" s="949">
        <f t="shared" si="0"/>
        <v>0</v>
      </c>
      <c r="I25" s="950"/>
      <c r="J25" s="536"/>
    </row>
    <row r="26" spans="2:10" s="414" customFormat="1" ht="15.75" thickBot="1" x14ac:dyDescent="0.3">
      <c r="B26" s="535"/>
      <c r="C26" s="68"/>
      <c r="D26" s="68"/>
      <c r="E26" s="68"/>
      <c r="F26" s="539"/>
      <c r="G26" s="541" t="s">
        <v>161</v>
      </c>
      <c r="H26" s="686">
        <f>SUM(H18:H25)</f>
        <v>0</v>
      </c>
      <c r="I26" s="687"/>
      <c r="J26" s="536"/>
    </row>
    <row r="27" spans="2:10" s="414" customFormat="1" ht="3.75" customHeight="1" x14ac:dyDescent="0.25">
      <c r="B27" s="535"/>
      <c r="C27" s="68"/>
      <c r="D27" s="68"/>
      <c r="E27" s="68"/>
      <c r="F27" s="143"/>
      <c r="G27" s="143"/>
      <c r="H27" s="422"/>
      <c r="I27" s="422"/>
      <c r="J27" s="536"/>
    </row>
    <row r="28" spans="2:10" s="414" customFormat="1" ht="15.75" thickBot="1" x14ac:dyDescent="0.3">
      <c r="B28" s="535"/>
      <c r="C28" s="538" t="s">
        <v>280</v>
      </c>
      <c r="D28" s="538"/>
      <c r="E28" s="538"/>
      <c r="F28" s="143"/>
      <c r="G28" s="143"/>
      <c r="H28" s="422"/>
      <c r="I28" s="422"/>
      <c r="J28" s="536"/>
    </row>
    <row r="29" spans="2:10" s="414" customFormat="1" x14ac:dyDescent="0.25">
      <c r="B29" s="535"/>
      <c r="C29" s="68"/>
      <c r="D29" s="68" t="s">
        <v>281</v>
      </c>
      <c r="E29" s="68"/>
      <c r="F29" s="942"/>
      <c r="G29" s="1972"/>
      <c r="H29" s="943">
        <f t="shared" ref="H29:H36" si="1">F29*G29</f>
        <v>0</v>
      </c>
      <c r="I29" s="944"/>
      <c r="J29" s="536"/>
    </row>
    <row r="30" spans="2:10" s="414" customFormat="1" x14ac:dyDescent="0.25">
      <c r="B30" s="535"/>
      <c r="C30" s="68"/>
      <c r="D30" s="68" t="s">
        <v>282</v>
      </c>
      <c r="E30" s="68"/>
      <c r="F30" s="945"/>
      <c r="G30" s="1973"/>
      <c r="H30" s="946">
        <f t="shared" si="1"/>
        <v>0</v>
      </c>
      <c r="I30" s="947"/>
      <c r="J30" s="536"/>
    </row>
    <row r="31" spans="2:10" s="414" customFormat="1" x14ac:dyDescent="0.25">
      <c r="B31" s="535"/>
      <c r="C31" s="68"/>
      <c r="D31" s="68" t="s">
        <v>283</v>
      </c>
      <c r="E31" s="68"/>
      <c r="F31" s="945"/>
      <c r="G31" s="1973"/>
      <c r="H31" s="946">
        <f t="shared" si="1"/>
        <v>0</v>
      </c>
      <c r="I31" s="947"/>
      <c r="J31" s="536"/>
    </row>
    <row r="32" spans="2:10" s="414" customFormat="1" x14ac:dyDescent="0.25">
      <c r="B32" s="535"/>
      <c r="C32" s="68"/>
      <c r="D32" s="68" t="s">
        <v>284</v>
      </c>
      <c r="E32" s="68"/>
      <c r="F32" s="945"/>
      <c r="G32" s="1973"/>
      <c r="H32" s="946">
        <f t="shared" si="1"/>
        <v>0</v>
      </c>
      <c r="I32" s="947"/>
      <c r="J32" s="536"/>
    </row>
    <row r="33" spans="1:10" s="414" customFormat="1" x14ac:dyDescent="0.25">
      <c r="B33" s="535"/>
      <c r="C33" s="68"/>
      <c r="D33" s="68" t="s">
        <v>285</v>
      </c>
      <c r="E33" s="68"/>
      <c r="F33" s="945"/>
      <c r="G33" s="1973"/>
      <c r="H33" s="946">
        <f t="shared" si="1"/>
        <v>0</v>
      </c>
      <c r="I33" s="947"/>
      <c r="J33" s="536"/>
    </row>
    <row r="34" spans="1:10" s="414" customFormat="1" x14ac:dyDescent="0.25">
      <c r="B34" s="535"/>
      <c r="C34" s="68"/>
      <c r="D34" s="68" t="s">
        <v>286</v>
      </c>
      <c r="E34" s="68"/>
      <c r="F34" s="945"/>
      <c r="G34" s="1973"/>
      <c r="H34" s="946">
        <f t="shared" si="1"/>
        <v>0</v>
      </c>
      <c r="I34" s="947"/>
      <c r="J34" s="536"/>
    </row>
    <row r="35" spans="1:10" s="414" customFormat="1" x14ac:dyDescent="0.25">
      <c r="B35" s="535"/>
      <c r="C35" s="68"/>
      <c r="D35" s="68" t="s">
        <v>287</v>
      </c>
      <c r="E35" s="68"/>
      <c r="F35" s="945"/>
      <c r="G35" s="1973"/>
      <c r="H35" s="946">
        <f t="shared" si="1"/>
        <v>0</v>
      </c>
      <c r="I35" s="947"/>
      <c r="J35" s="536"/>
    </row>
    <row r="36" spans="1:10" s="414" customFormat="1" ht="15.75" thickBot="1" x14ac:dyDescent="0.3">
      <c r="B36" s="535"/>
      <c r="C36" s="68"/>
      <c r="D36" s="68" t="s">
        <v>288</v>
      </c>
      <c r="E36" s="68"/>
      <c r="F36" s="951"/>
      <c r="G36" s="1975"/>
      <c r="H36" s="949">
        <f t="shared" si="1"/>
        <v>0</v>
      </c>
      <c r="I36" s="950"/>
      <c r="J36" s="536"/>
    </row>
    <row r="37" spans="1:10" s="414" customFormat="1" ht="15.75" thickBot="1" x14ac:dyDescent="0.3">
      <c r="B37" s="535"/>
      <c r="C37" s="68"/>
      <c r="D37" s="68"/>
      <c r="E37" s="68"/>
      <c r="F37" s="539"/>
      <c r="G37" s="541" t="s">
        <v>161</v>
      </c>
      <c r="H37" s="684">
        <f>SUM(H29:H36)</f>
        <v>0</v>
      </c>
      <c r="I37" s="685"/>
      <c r="J37" s="536"/>
    </row>
    <row r="38" spans="1:10" s="414" customFormat="1" ht="3.75" customHeight="1" x14ac:dyDescent="0.25">
      <c r="B38" s="535"/>
      <c r="C38" s="68"/>
      <c r="D38" s="68"/>
      <c r="E38" s="68"/>
      <c r="F38" s="143"/>
      <c r="G38" s="143"/>
      <c r="H38" s="422"/>
      <c r="I38" s="422"/>
      <c r="J38" s="536"/>
    </row>
    <row r="39" spans="1:10" s="414" customFormat="1" ht="15.75" thickBot="1" x14ac:dyDescent="0.3">
      <c r="B39" s="535"/>
      <c r="C39" s="538" t="s">
        <v>289</v>
      </c>
      <c r="D39" s="538"/>
      <c r="E39" s="538"/>
      <c r="F39" s="143"/>
      <c r="G39" s="143"/>
      <c r="H39" s="422"/>
      <c r="I39" s="422"/>
      <c r="J39" s="536"/>
    </row>
    <row r="40" spans="1:10" s="414" customFormat="1" x14ac:dyDescent="0.25">
      <c r="B40" s="535"/>
      <c r="C40" s="68"/>
      <c r="D40" s="68" t="s">
        <v>290</v>
      </c>
      <c r="E40" s="68"/>
      <c r="F40" s="942"/>
      <c r="G40" s="1972"/>
      <c r="H40" s="943">
        <f>F40*G40</f>
        <v>0</v>
      </c>
      <c r="I40" s="944"/>
      <c r="J40" s="536"/>
    </row>
    <row r="41" spans="1:10" s="414" customFormat="1" x14ac:dyDescent="0.25">
      <c r="B41" s="535"/>
      <c r="C41" s="68"/>
      <c r="D41" s="68" t="s">
        <v>291</v>
      </c>
      <c r="E41" s="68"/>
      <c r="F41" s="952"/>
      <c r="G41" s="1976"/>
      <c r="H41" s="953">
        <f>F41*G41</f>
        <v>0</v>
      </c>
      <c r="I41" s="947"/>
      <c r="J41" s="536"/>
    </row>
    <row r="42" spans="1:10" x14ac:dyDescent="0.25">
      <c r="A42" s="414"/>
      <c r="B42" s="535"/>
      <c r="C42" s="68"/>
      <c r="D42" s="68" t="s">
        <v>292</v>
      </c>
      <c r="E42" s="68"/>
      <c r="F42" s="129"/>
      <c r="G42" s="128"/>
      <c r="H42" s="128"/>
      <c r="I42" s="956"/>
      <c r="J42" s="536"/>
    </row>
    <row r="43" spans="1:10" s="414" customFormat="1" x14ac:dyDescent="0.25">
      <c r="B43" s="535"/>
      <c r="C43" s="68"/>
      <c r="D43" s="2478" t="s">
        <v>539</v>
      </c>
      <c r="E43" s="2478"/>
      <c r="F43" s="954"/>
      <c r="G43" s="1977"/>
      <c r="H43" s="955">
        <f>F43*G43</f>
        <v>0</v>
      </c>
      <c r="I43" s="947"/>
      <c r="J43" s="536"/>
    </row>
    <row r="44" spans="1:10" s="414" customFormat="1" ht="15.75" thickBot="1" x14ac:dyDescent="0.3">
      <c r="B44" s="535"/>
      <c r="C44" s="68"/>
      <c r="D44" s="2478" t="s">
        <v>540</v>
      </c>
      <c r="E44" s="2478"/>
      <c r="F44" s="951"/>
      <c r="G44" s="1975"/>
      <c r="H44" s="949">
        <f>F44*G44</f>
        <v>0</v>
      </c>
      <c r="I44" s="950"/>
      <c r="J44" s="536"/>
    </row>
    <row r="45" spans="1:10" s="414" customFormat="1" ht="15.75" thickBot="1" x14ac:dyDescent="0.3">
      <c r="B45" s="535"/>
      <c r="C45" s="68"/>
      <c r="D45" s="68"/>
      <c r="E45" s="68"/>
      <c r="F45" s="539"/>
      <c r="G45" s="541" t="s">
        <v>161</v>
      </c>
      <c r="H45" s="684">
        <f>SUM(H40:H41)+SUM(H43:H44)</f>
        <v>0</v>
      </c>
      <c r="I45" s="685"/>
      <c r="J45" s="536"/>
    </row>
    <row r="46" spans="1:10" s="414" customFormat="1" ht="3.75" customHeight="1" x14ac:dyDescent="0.25">
      <c r="B46" s="535"/>
      <c r="C46" s="68"/>
      <c r="D46" s="68"/>
      <c r="E46" s="68"/>
      <c r="F46" s="143"/>
      <c r="G46" s="143"/>
      <c r="H46" s="422"/>
      <c r="I46" s="422"/>
      <c r="J46" s="536"/>
    </row>
    <row r="47" spans="1:10" s="414" customFormat="1" ht="15.75" thickBot="1" x14ac:dyDescent="0.3">
      <c r="B47" s="535"/>
      <c r="C47" s="538" t="s">
        <v>293</v>
      </c>
      <c r="D47" s="538"/>
      <c r="E47" s="538"/>
      <c r="F47" s="143"/>
      <c r="G47" s="143"/>
      <c r="H47" s="422"/>
      <c r="I47" s="422"/>
      <c r="J47" s="536"/>
    </row>
    <row r="48" spans="1:10" s="414" customFormat="1" x14ac:dyDescent="0.25">
      <c r="B48" s="535"/>
      <c r="C48" s="68"/>
      <c r="D48" s="68" t="s">
        <v>294</v>
      </c>
      <c r="E48" s="68"/>
      <c r="F48" s="942"/>
      <c r="G48" s="1972"/>
      <c r="H48" s="943">
        <f>F48*G48</f>
        <v>0</v>
      </c>
      <c r="I48" s="944"/>
      <c r="J48" s="536"/>
    </row>
    <row r="49" spans="2:15" s="414" customFormat="1" x14ac:dyDescent="0.25">
      <c r="B49" s="535"/>
      <c r="C49" s="68"/>
      <c r="D49" s="68" t="s">
        <v>295</v>
      </c>
      <c r="E49" s="68"/>
      <c r="F49" s="945"/>
      <c r="G49" s="1973"/>
      <c r="H49" s="946">
        <f>F49*G49</f>
        <v>0</v>
      </c>
      <c r="I49" s="947"/>
      <c r="J49" s="536"/>
    </row>
    <row r="50" spans="2:15" s="414" customFormat="1" x14ac:dyDescent="0.25">
      <c r="B50" s="535"/>
      <c r="C50" s="68"/>
      <c r="D50" s="68" t="s">
        <v>275</v>
      </c>
      <c r="E50" s="68"/>
      <c r="F50" s="945"/>
      <c r="G50" s="1973"/>
      <c r="H50" s="946">
        <f>F50*G50</f>
        <v>0</v>
      </c>
      <c r="I50" s="947"/>
      <c r="J50" s="536"/>
    </row>
    <row r="51" spans="2:15" s="414" customFormat="1" ht="15.75" thickBot="1" x14ac:dyDescent="0.3">
      <c r="B51" s="535"/>
      <c r="C51" s="68"/>
      <c r="D51" s="68" t="s">
        <v>296</v>
      </c>
      <c r="E51" s="68"/>
      <c r="F51" s="948"/>
      <c r="G51" s="1974"/>
      <c r="H51" s="949">
        <f>F51*G51</f>
        <v>0</v>
      </c>
      <c r="I51" s="950"/>
      <c r="J51" s="536"/>
    </row>
    <row r="52" spans="2:15" s="414" customFormat="1" ht="15.75" thickBot="1" x14ac:dyDescent="0.3">
      <c r="B52" s="535"/>
      <c r="C52" s="68"/>
      <c r="D52" s="68"/>
      <c r="E52" s="68"/>
      <c r="F52" s="539"/>
      <c r="G52" s="541" t="s">
        <v>161</v>
      </c>
      <c r="H52" s="684">
        <f>SUM(H48:H51)</f>
        <v>0</v>
      </c>
      <c r="I52" s="685"/>
      <c r="J52" s="536"/>
    </row>
    <row r="53" spans="2:15" s="414" customFormat="1" ht="3.75" customHeight="1" x14ac:dyDescent="0.25">
      <c r="B53" s="535"/>
      <c r="C53" s="68"/>
      <c r="D53" s="68"/>
      <c r="E53" s="68"/>
      <c r="F53" s="143"/>
      <c r="G53" s="143"/>
      <c r="H53" s="422"/>
      <c r="I53" s="422"/>
      <c r="J53" s="536"/>
    </row>
    <row r="54" spans="2:15" s="414" customFormat="1" ht="15.75" thickBot="1" x14ac:dyDescent="0.3">
      <c r="B54" s="535"/>
      <c r="C54" s="538" t="s">
        <v>234</v>
      </c>
      <c r="D54" s="538"/>
      <c r="E54" s="538"/>
      <c r="F54" s="542"/>
      <c r="G54" s="542"/>
      <c r="H54" s="688"/>
      <c r="I54" s="345"/>
      <c r="J54" s="536"/>
    </row>
    <row r="55" spans="2:15" s="414" customFormat="1" ht="15.75" thickBot="1" x14ac:dyDescent="0.3">
      <c r="B55" s="535"/>
      <c r="C55" s="68"/>
      <c r="D55" s="68"/>
      <c r="E55" s="68"/>
      <c r="F55" s="531"/>
      <c r="G55" s="532"/>
      <c r="H55" s="689">
        <f>F55*G55</f>
        <v>0</v>
      </c>
      <c r="I55" s="683"/>
      <c r="J55" s="536"/>
    </row>
    <row r="56" spans="2:15" s="414" customFormat="1" ht="15.75" thickBot="1" x14ac:dyDescent="0.3">
      <c r="B56" s="535"/>
      <c r="C56" s="68"/>
      <c r="D56" s="68"/>
      <c r="E56" s="68"/>
      <c r="F56" s="539"/>
      <c r="G56" s="541" t="s">
        <v>161</v>
      </c>
      <c r="H56" s="684">
        <f>SUM(H55)</f>
        <v>0</v>
      </c>
      <c r="I56" s="685"/>
      <c r="J56" s="536"/>
    </row>
    <row r="57" spans="2:15" s="414" customFormat="1" ht="7.5" customHeight="1" thickBot="1" x14ac:dyDescent="0.3">
      <c r="B57" s="535"/>
      <c r="C57" s="68"/>
      <c r="D57" s="68"/>
      <c r="E57" s="68"/>
      <c r="F57" s="143"/>
      <c r="G57" s="143"/>
      <c r="H57" s="143"/>
      <c r="I57" s="143"/>
      <c r="J57" s="536"/>
    </row>
    <row r="58" spans="2:15" ht="15.75" customHeight="1" thickBot="1" x14ac:dyDescent="0.3">
      <c r="B58" s="543"/>
      <c r="C58" s="695" t="s">
        <v>55</v>
      </c>
      <c r="D58" s="544"/>
      <c r="E58" s="545"/>
      <c r="F58" s="546"/>
      <c r="G58" s="547"/>
      <c r="H58" s="548">
        <f>H15+H26+H37+H45+H52+H56</f>
        <v>0</v>
      </c>
      <c r="I58" s="2481" t="str">
        <f>IF(H58&lt;&gt;('6A'!J100+'6A'!J101),"WARNING: Does not match Form 6A","")</f>
        <v/>
      </c>
      <c r="J58" s="2482"/>
    </row>
    <row r="59" spans="2:15" s="414" customFormat="1" ht="9" customHeight="1" thickBot="1" x14ac:dyDescent="0.3">
      <c r="B59" s="549"/>
      <c r="C59" s="550"/>
      <c r="D59" s="550"/>
      <c r="E59" s="550"/>
      <c r="F59" s="550"/>
      <c r="G59" s="550"/>
      <c r="H59" s="551" t="s">
        <v>34</v>
      </c>
      <c r="I59" s="550"/>
      <c r="J59" s="483"/>
    </row>
    <row r="60" spans="2:15" x14ac:dyDescent="0.25">
      <c r="I60" s="2479" t="str">
        <f>IF(I58="WARNING: Does not match Form 6A","Ensure that the total of the Permits, Fees &amp; Hookups and Impact/Mitigation Fees cells on Form 6A matches the total here.","")</f>
        <v/>
      </c>
    </row>
    <row r="61" spans="2:15" x14ac:dyDescent="0.25">
      <c r="I61" s="2480"/>
    </row>
    <row r="62" spans="2:15" x14ac:dyDescent="0.25">
      <c r="I62" s="2480"/>
      <c r="L62" s="1091"/>
      <c r="M62" s="1091"/>
      <c r="N62" s="1091"/>
      <c r="O62" s="1091"/>
    </row>
    <row r="63" spans="2:15" ht="15" customHeight="1" x14ac:dyDescent="0.25">
      <c r="I63" s="2480"/>
      <c r="J63" s="1091"/>
      <c r="K63" s="1091"/>
      <c r="L63" s="1091"/>
    </row>
    <row r="64" spans="2:15" x14ac:dyDescent="0.25">
      <c r="H64" s="1091"/>
      <c r="I64" s="1091"/>
      <c r="J64" s="1091"/>
      <c r="K64" s="1091"/>
      <c r="L64" s="1091"/>
    </row>
    <row r="65" spans="8:12" x14ac:dyDescent="0.25">
      <c r="H65" s="1091"/>
      <c r="I65" s="1091"/>
      <c r="J65" s="1091"/>
      <c r="K65" s="1091"/>
      <c r="L65" s="1091"/>
    </row>
    <row r="66" spans="8:12" x14ac:dyDescent="0.25">
      <c r="H66" s="1091"/>
      <c r="I66" s="1091"/>
      <c r="J66" s="1091"/>
      <c r="K66" s="1091"/>
      <c r="L66" s="1091"/>
    </row>
  </sheetData>
  <sheetProtection algorithmName="SHA-512" hashValue="BXAyMSEYMxv5wVRXvdHy4jyX4G9fw0Y10RhRsjQ3XxTly7IMyKmeHAB7mU5eVJlFCMKpwE6LzoE5fTnCMsZKXA==" saltValue="OqaDqxV4bcnKchLbKSPM7Q==" spinCount="100000" sheet="1" formatCells="0" formatColumns="0" formatRows="0"/>
  <mergeCells count="6">
    <mergeCell ref="D43:E43"/>
    <mergeCell ref="D44:E44"/>
    <mergeCell ref="C8:I8"/>
    <mergeCell ref="C10:I10"/>
    <mergeCell ref="I60:I63"/>
    <mergeCell ref="I58:J58"/>
  </mergeCells>
  <conditionalFormatting sqref="I58:J58">
    <cfRule type="containsText" dxfId="53" priority="2" operator="containsText" text="warning">
      <formula>NOT(ISERROR(SEARCH("warning",I58)))</formula>
    </cfRule>
  </conditionalFormatting>
  <conditionalFormatting sqref="I60:I63">
    <cfRule type="containsText" dxfId="52" priority="1" operator="containsText" text="ensure">
      <formula>NOT(ISERROR(SEARCH("ensure",I60)))</formula>
    </cfRule>
  </conditionalFormatting>
  <pageMargins left="0.7" right="0.7" top="0.75" bottom="0.75" header="0.3" footer="0.3"/>
  <pageSetup scale="94" orientation="portrait" r:id="rId1"/>
  <headerFooter>
    <oddFooter>&amp;LForm 6E
Fee Schedule&amp;CCFA Forms</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8:S49"/>
  <sheetViews>
    <sheetView showGridLines="0" topLeftCell="A15" zoomScaleNormal="100" workbookViewId="0">
      <selection activeCell="E51" sqref="E51"/>
    </sheetView>
  </sheetViews>
  <sheetFormatPr defaultColWidth="9.140625" defaultRowHeight="15" x14ac:dyDescent="0.25"/>
  <cols>
    <col min="1" max="2" width="1.7109375" style="396" customWidth="1"/>
    <col min="3" max="3" width="24.5703125" style="396" bestFit="1" customWidth="1"/>
    <col min="4" max="4" width="22.28515625" style="396" bestFit="1" customWidth="1"/>
    <col min="5" max="5" width="15.42578125" style="396" bestFit="1" customWidth="1"/>
    <col min="6" max="6" width="17" style="396" bestFit="1" customWidth="1"/>
    <col min="7" max="7" width="9.140625" style="396"/>
    <col min="8" max="8" width="9.42578125" style="396" bestFit="1" customWidth="1"/>
    <col min="9" max="9" width="10.42578125" style="396" bestFit="1" customWidth="1"/>
    <col min="10" max="10" width="6.85546875" style="396" bestFit="1" customWidth="1"/>
    <col min="11" max="11" width="11.28515625" style="396" bestFit="1" customWidth="1"/>
    <col min="12" max="12" width="9" style="396" bestFit="1" customWidth="1"/>
    <col min="13" max="13" width="11.28515625" style="396" bestFit="1" customWidth="1"/>
    <col min="14" max="14" width="9.7109375" style="396" bestFit="1" customWidth="1"/>
    <col min="15" max="15" width="10.140625" style="396" bestFit="1" customWidth="1"/>
    <col min="16" max="16" width="10" style="396" bestFit="1" customWidth="1"/>
    <col min="17" max="17" width="1.7109375" style="396" customWidth="1"/>
    <col min="18" max="16384" width="9.140625" style="396"/>
  </cols>
  <sheetData>
    <row r="8" spans="2:17" ht="9" customHeight="1" thickBot="1" x14ac:dyDescent="0.3"/>
    <row r="9" spans="2:17" ht="9" customHeight="1" x14ac:dyDescent="0.25">
      <c r="B9" s="553"/>
      <c r="C9" s="554"/>
      <c r="D9" s="554"/>
      <c r="E9" s="555"/>
      <c r="F9" s="555"/>
      <c r="G9" s="555"/>
      <c r="H9" s="554"/>
      <c r="I9" s="554"/>
      <c r="J9" s="554"/>
      <c r="K9" s="554"/>
      <c r="L9" s="554"/>
      <c r="M9" s="554"/>
      <c r="N9" s="554"/>
      <c r="O9" s="554"/>
      <c r="P9" s="554"/>
      <c r="Q9" s="556"/>
    </row>
    <row r="10" spans="2:17" ht="18.75" x14ac:dyDescent="0.3">
      <c r="B10" s="557"/>
      <c r="C10" s="2421" t="s">
        <v>536</v>
      </c>
      <c r="D10" s="2421"/>
      <c r="E10" s="2421"/>
      <c r="F10" s="2421"/>
      <c r="G10" s="2421"/>
      <c r="H10" s="2421"/>
      <c r="I10" s="2421"/>
      <c r="J10" s="2421"/>
      <c r="K10" s="2421"/>
      <c r="L10" s="2421"/>
      <c r="M10" s="2421"/>
      <c r="N10" s="2421"/>
      <c r="O10" s="2421"/>
      <c r="P10" s="2421"/>
      <c r="Q10" s="558"/>
    </row>
    <row r="11" spans="2:17" x14ac:dyDescent="0.25">
      <c r="B11" s="557"/>
      <c r="C11" s="1844"/>
      <c r="D11" s="1844"/>
      <c r="E11" s="365"/>
      <c r="F11" s="365"/>
      <c r="G11" s="365"/>
      <c r="H11" s="1844"/>
      <c r="I11" s="1844"/>
      <c r="J11" s="1844"/>
      <c r="K11" s="1844"/>
      <c r="L11" s="1844"/>
      <c r="M11" s="1844"/>
      <c r="N11" s="1844"/>
      <c r="O11" s="1844"/>
      <c r="P11" s="1844"/>
      <c r="Q11" s="558"/>
    </row>
    <row r="12" spans="2:17" ht="15.75" thickBot="1" x14ac:dyDescent="0.3">
      <c r="B12" s="557"/>
      <c r="C12" s="2323" t="str">
        <f>IF('1'!G5="","Enter Project Name on Form 1",(CONCATENATE("Project Name: ",'1'!G5)))</f>
        <v>Enter Project Name on Form 1</v>
      </c>
      <c r="D12" s="2410"/>
      <c r="E12" s="2323"/>
      <c r="F12" s="2323"/>
      <c r="G12" s="2323"/>
      <c r="H12" s="2323"/>
      <c r="I12" s="2323"/>
      <c r="J12" s="2323"/>
      <c r="K12" s="2488"/>
      <c r="L12" s="2323"/>
      <c r="M12" s="2323"/>
      <c r="N12" s="1844"/>
      <c r="O12" s="1844"/>
      <c r="P12" s="1844"/>
      <c r="Q12" s="558"/>
    </row>
    <row r="13" spans="2:17" ht="22.5" customHeight="1" x14ac:dyDescent="0.25">
      <c r="B13" s="557"/>
      <c r="C13" s="1844"/>
      <c r="D13" s="1844"/>
      <c r="E13" s="365"/>
      <c r="F13" s="365"/>
      <c r="G13" s="365"/>
      <c r="H13" s="1844"/>
      <c r="I13" s="1844"/>
      <c r="J13" s="1844"/>
      <c r="K13" s="1844"/>
      <c r="L13" s="1844"/>
      <c r="M13" s="1844"/>
      <c r="N13" s="1844"/>
      <c r="O13" s="1844"/>
      <c r="P13" s="1844"/>
      <c r="Q13" s="558"/>
    </row>
    <row r="14" spans="2:17" ht="15.75" thickBot="1" x14ac:dyDescent="0.3">
      <c r="B14" s="557"/>
      <c r="C14" s="2489" t="s">
        <v>297</v>
      </c>
      <c r="D14" s="2490"/>
      <c r="E14" s="2489"/>
      <c r="F14" s="2489"/>
      <c r="G14" s="2489"/>
      <c r="H14" s="2489"/>
      <c r="I14" s="2489"/>
      <c r="J14" s="2489"/>
      <c r="K14" s="2491"/>
      <c r="L14" s="2489"/>
      <c r="M14" s="2489"/>
      <c r="N14" s="1844"/>
      <c r="O14" s="492"/>
      <c r="P14" s="492"/>
      <c r="Q14" s="559"/>
    </row>
    <row r="15" spans="2:17" ht="27" thickBot="1" x14ac:dyDescent="0.3">
      <c r="B15" s="560"/>
      <c r="C15" s="1073" t="s">
        <v>642</v>
      </c>
      <c r="D15" s="745" t="s">
        <v>643</v>
      </c>
      <c r="E15" s="561" t="s">
        <v>299</v>
      </c>
      <c r="F15" s="1860" t="s">
        <v>300</v>
      </c>
      <c r="G15" s="562" t="s">
        <v>301</v>
      </c>
      <c r="H15" s="562" t="s">
        <v>510</v>
      </c>
      <c r="I15" s="563" t="s">
        <v>302</v>
      </c>
      <c r="J15" s="2492" t="s">
        <v>303</v>
      </c>
      <c r="K15" s="2493"/>
      <c r="L15" s="2493"/>
      <c r="M15" s="2494"/>
      <c r="N15" s="1844"/>
      <c r="O15" s="564"/>
      <c r="P15" s="564"/>
      <c r="Q15" s="565"/>
    </row>
    <row r="16" spans="2:17" x14ac:dyDescent="0.25">
      <c r="B16" s="557"/>
      <c r="C16" s="746"/>
      <c r="D16" s="2200" t="s">
        <v>541</v>
      </c>
      <c r="E16" s="747"/>
      <c r="F16" s="748"/>
      <c r="G16" s="1277"/>
      <c r="H16" s="749"/>
      <c r="I16" s="750"/>
      <c r="J16" s="2495"/>
      <c r="K16" s="2496"/>
      <c r="L16" s="2496"/>
      <c r="M16" s="2497"/>
      <c r="N16" s="1844"/>
      <c r="O16" s="1844"/>
      <c r="P16" s="1844"/>
      <c r="Q16" s="558"/>
    </row>
    <row r="17" spans="2:19" x14ac:dyDescent="0.25">
      <c r="B17" s="557"/>
      <c r="C17" s="2127"/>
      <c r="D17" s="1072"/>
      <c r="E17" s="2128"/>
      <c r="F17" s="2129"/>
      <c r="G17" s="2130"/>
      <c r="H17" s="2131"/>
      <c r="I17" s="2132"/>
      <c r="J17" s="2133"/>
      <c r="K17" s="2134"/>
      <c r="L17" s="2134"/>
      <c r="M17" s="2135"/>
      <c r="N17" s="2103"/>
      <c r="O17" s="2103"/>
      <c r="P17" s="2103"/>
      <c r="Q17" s="558"/>
    </row>
    <row r="18" spans="2:19" x14ac:dyDescent="0.25">
      <c r="B18" s="557"/>
      <c r="C18" s="751"/>
      <c r="D18" s="1072"/>
      <c r="E18" s="752"/>
      <c r="F18" s="753"/>
      <c r="G18" s="1278"/>
      <c r="H18" s="754"/>
      <c r="I18" s="755"/>
      <c r="J18" s="2483"/>
      <c r="K18" s="2484"/>
      <c r="L18" s="2484"/>
      <c r="M18" s="2485"/>
      <c r="N18" s="1844"/>
      <c r="O18" s="1844"/>
      <c r="P18" s="1844"/>
      <c r="Q18" s="558"/>
    </row>
    <row r="19" spans="2:19" x14ac:dyDescent="0.25">
      <c r="B19" s="557"/>
      <c r="C19" s="751"/>
      <c r="D19" s="1072"/>
      <c r="E19" s="752"/>
      <c r="F19" s="753"/>
      <c r="G19" s="1278"/>
      <c r="H19" s="754"/>
      <c r="I19" s="755"/>
      <c r="J19" s="2483"/>
      <c r="K19" s="2484"/>
      <c r="L19" s="2484"/>
      <c r="M19" s="2485"/>
      <c r="N19" s="1844"/>
      <c r="O19" s="1844"/>
      <c r="P19" s="1844"/>
      <c r="Q19" s="558"/>
    </row>
    <row r="20" spans="2:19" ht="7.5" customHeight="1" thickBot="1" x14ac:dyDescent="0.3">
      <c r="B20" s="557"/>
      <c r="C20" s="1538"/>
      <c r="D20" s="1539"/>
      <c r="E20" s="1540"/>
      <c r="F20" s="1541"/>
      <c r="G20" s="1542"/>
      <c r="H20" s="1543"/>
      <c r="I20" s="1544"/>
      <c r="J20" s="2498"/>
      <c r="K20" s="2499"/>
      <c r="L20" s="2500"/>
      <c r="M20" s="2501"/>
      <c r="N20" s="1844"/>
      <c r="O20" s="1844"/>
      <c r="P20" s="1844"/>
      <c r="Q20" s="558"/>
    </row>
    <row r="21" spans="2:19" ht="15.75" thickBot="1" x14ac:dyDescent="0.3">
      <c r="B21" s="557"/>
      <c r="C21" s="378"/>
      <c r="D21" s="721" t="s">
        <v>304</v>
      </c>
      <c r="E21" s="566">
        <f>SUM(E16:E20)</f>
        <v>0</v>
      </c>
      <c r="F21" s="567">
        <f>SUM(F16:F20)</f>
        <v>0</v>
      </c>
      <c r="G21" s="192"/>
      <c r="H21" s="1844"/>
      <c r="I21" s="1844"/>
      <c r="J21" s="1844"/>
      <c r="K21" s="1844"/>
      <c r="L21" s="1844"/>
      <c r="M21" s="1844"/>
      <c r="N21" s="1844"/>
      <c r="O21" s="1844"/>
      <c r="P21" s="1844"/>
      <c r="Q21" s="558"/>
    </row>
    <row r="22" spans="2:19" ht="3.75" customHeight="1" thickBot="1" x14ac:dyDescent="0.3">
      <c r="B22" s="557"/>
      <c r="C22" s="193"/>
      <c r="D22" s="193"/>
      <c r="E22" s="194"/>
      <c r="F22" s="194"/>
      <c r="G22" s="192"/>
      <c r="H22" s="1844"/>
      <c r="I22" s="1844"/>
      <c r="J22" s="1844"/>
      <c r="K22" s="1844"/>
      <c r="L22" s="1844"/>
      <c r="M22" s="1844"/>
      <c r="N22" s="1844"/>
      <c r="O22" s="1844"/>
      <c r="P22" s="1844"/>
      <c r="Q22" s="558"/>
    </row>
    <row r="23" spans="2:19" ht="15.75" thickBot="1" x14ac:dyDescent="0.3">
      <c r="B23" s="557"/>
      <c r="C23" s="569" t="s">
        <v>305</v>
      </c>
      <c r="D23" s="569"/>
      <c r="E23" s="378"/>
      <c r="F23" s="198">
        <f>E21+F21</f>
        <v>0</v>
      </c>
      <c r="G23" s="365"/>
      <c r="H23" s="1844"/>
      <c r="I23" s="1844"/>
      <c r="J23" s="1844"/>
      <c r="K23" s="1844"/>
      <c r="L23" s="1844"/>
      <c r="M23" s="1844"/>
      <c r="N23" s="1844"/>
      <c r="O23" s="1844"/>
      <c r="P23" s="1844"/>
      <c r="Q23" s="558"/>
    </row>
    <row r="24" spans="2:19" ht="7.5" customHeight="1" x14ac:dyDescent="0.25">
      <c r="B24" s="557"/>
      <c r="C24" s="1844"/>
      <c r="D24" s="1844"/>
      <c r="E24" s="365"/>
      <c r="F24" s="365"/>
      <c r="G24" s="365"/>
      <c r="H24" s="1844"/>
      <c r="I24" s="1844"/>
      <c r="J24" s="1844"/>
      <c r="K24" s="1844"/>
      <c r="L24" s="1844"/>
      <c r="M24" s="1844"/>
      <c r="N24" s="1844"/>
      <c r="O24" s="1844"/>
      <c r="P24" s="1844"/>
      <c r="Q24" s="558"/>
    </row>
    <row r="25" spans="2:19" ht="15.75" thickBot="1" x14ac:dyDescent="0.3">
      <c r="B25" s="557"/>
      <c r="C25" s="2323" t="s">
        <v>306</v>
      </c>
      <c r="D25" s="2410"/>
      <c r="E25" s="2323"/>
      <c r="F25" s="2323"/>
      <c r="G25" s="2323"/>
      <c r="H25" s="2323"/>
      <c r="I25" s="2323"/>
      <c r="J25" s="2323"/>
      <c r="K25" s="2488"/>
      <c r="L25" s="2323"/>
      <c r="M25" s="2323"/>
      <c r="N25" s="2323"/>
      <c r="O25" s="2323"/>
      <c r="P25" s="2323"/>
      <c r="Q25" s="559"/>
    </row>
    <row r="26" spans="2:19" ht="27" thickBot="1" x14ac:dyDescent="0.3">
      <c r="B26" s="560"/>
      <c r="C26" s="1073" t="s">
        <v>639</v>
      </c>
      <c r="D26" s="745" t="s">
        <v>641</v>
      </c>
      <c r="E26" s="1860" t="s">
        <v>299</v>
      </c>
      <c r="F26" s="1860" t="s">
        <v>300</v>
      </c>
      <c r="G26" s="1860" t="s">
        <v>307</v>
      </c>
      <c r="H26" s="563" t="s">
        <v>308</v>
      </c>
      <c r="I26" s="563" t="s">
        <v>309</v>
      </c>
      <c r="J26" s="1860" t="s">
        <v>552</v>
      </c>
      <c r="K26" s="745" t="s">
        <v>1432</v>
      </c>
      <c r="L26" s="745" t="s">
        <v>1431</v>
      </c>
      <c r="M26" s="562" t="s">
        <v>301</v>
      </c>
      <c r="N26" s="562" t="s">
        <v>1433</v>
      </c>
      <c r="O26" s="563" t="s">
        <v>302</v>
      </c>
      <c r="P26" s="1861" t="s">
        <v>509</v>
      </c>
      <c r="Q26" s="565"/>
    </row>
    <row r="27" spans="2:19" x14ac:dyDescent="0.25">
      <c r="B27" s="557"/>
      <c r="C27" s="756"/>
      <c r="D27" s="2200" t="s">
        <v>541</v>
      </c>
      <c r="E27" s="757"/>
      <c r="F27" s="748"/>
      <c r="G27" s="758" t="s">
        <v>553</v>
      </c>
      <c r="H27" s="1962"/>
      <c r="I27" s="1270"/>
      <c r="J27" s="1691" t="s">
        <v>541</v>
      </c>
      <c r="K27" s="1695"/>
      <c r="L27" s="760" t="s">
        <v>541</v>
      </c>
      <c r="M27" s="1279"/>
      <c r="N27" s="1862"/>
      <c r="O27" s="1862"/>
      <c r="P27" s="761"/>
      <c r="Q27" s="558"/>
      <c r="R27" s="552"/>
      <c r="S27" s="2057"/>
    </row>
    <row r="28" spans="2:19" x14ac:dyDescent="0.25">
      <c r="B28" s="557"/>
      <c r="C28" s="762"/>
      <c r="D28" s="773"/>
      <c r="E28" s="763"/>
      <c r="F28" s="753"/>
      <c r="G28" s="764"/>
      <c r="H28" s="1857"/>
      <c r="I28" s="765"/>
      <c r="J28" s="1692"/>
      <c r="K28" s="1696"/>
      <c r="L28" s="766"/>
      <c r="M28" s="1280"/>
      <c r="N28" s="1857"/>
      <c r="O28" s="1857"/>
      <c r="P28" s="767"/>
      <c r="Q28" s="558"/>
      <c r="S28" s="2057"/>
    </row>
    <row r="29" spans="2:19" x14ac:dyDescent="0.25">
      <c r="B29" s="557"/>
      <c r="C29" s="762"/>
      <c r="D29" s="773"/>
      <c r="E29" s="763"/>
      <c r="F29" s="753"/>
      <c r="G29" s="764"/>
      <c r="H29" s="1857"/>
      <c r="I29" s="765"/>
      <c r="J29" s="1692"/>
      <c r="K29" s="1696"/>
      <c r="L29" s="766"/>
      <c r="M29" s="1280"/>
      <c r="N29" s="1857"/>
      <c r="O29" s="1857"/>
      <c r="P29" s="767"/>
      <c r="Q29" s="558"/>
      <c r="S29" s="2057"/>
    </row>
    <row r="30" spans="2:19" x14ac:dyDescent="0.25">
      <c r="B30" s="557"/>
      <c r="C30" s="762"/>
      <c r="D30" s="773"/>
      <c r="E30" s="763"/>
      <c r="F30" s="753"/>
      <c r="G30" s="764"/>
      <c r="H30" s="1958"/>
      <c r="I30" s="765"/>
      <c r="J30" s="1692"/>
      <c r="K30" s="1696"/>
      <c r="L30" s="766"/>
      <c r="M30" s="1280"/>
      <c r="N30" s="1958"/>
      <c r="O30" s="1958"/>
      <c r="P30" s="767"/>
      <c r="Q30" s="558"/>
      <c r="S30" s="2057"/>
    </row>
    <row r="31" spans="2:19" x14ac:dyDescent="0.25">
      <c r="B31" s="557"/>
      <c r="C31" s="762"/>
      <c r="D31" s="773"/>
      <c r="E31" s="763"/>
      <c r="F31" s="753"/>
      <c r="G31" s="764"/>
      <c r="H31" s="1857"/>
      <c r="I31" s="765"/>
      <c r="J31" s="1692"/>
      <c r="K31" s="1696"/>
      <c r="L31" s="766"/>
      <c r="M31" s="1280"/>
      <c r="N31" s="1857"/>
      <c r="O31" s="1857"/>
      <c r="P31" s="767"/>
      <c r="Q31" s="558"/>
      <c r="S31" s="2057"/>
    </row>
    <row r="32" spans="2:19" x14ac:dyDescent="0.25">
      <c r="B32" s="557"/>
      <c r="C32" s="762"/>
      <c r="D32" s="773"/>
      <c r="E32" s="763"/>
      <c r="F32" s="753"/>
      <c r="G32" s="764"/>
      <c r="H32" s="1963"/>
      <c r="I32" s="1964"/>
      <c r="J32" s="1692"/>
      <c r="K32" s="1696"/>
      <c r="L32" s="766"/>
      <c r="M32" s="1280"/>
      <c r="N32" s="1857"/>
      <c r="O32" s="1857"/>
      <c r="P32" s="767"/>
      <c r="Q32" s="558"/>
      <c r="S32" s="2057"/>
    </row>
    <row r="33" spans="2:17" ht="7.5" customHeight="1" thickBot="1" x14ac:dyDescent="0.3">
      <c r="B33" s="557"/>
      <c r="C33" s="1545"/>
      <c r="D33" s="1546"/>
      <c r="E33" s="1547"/>
      <c r="F33" s="1541"/>
      <c r="G33" s="1548"/>
      <c r="H33" s="1858"/>
      <c r="I33" s="1549"/>
      <c r="J33" s="1693"/>
      <c r="K33" s="1697"/>
      <c r="L33" s="1859"/>
      <c r="M33" s="1550"/>
      <c r="N33" s="1858"/>
      <c r="O33" s="1858"/>
      <c r="P33" s="1551"/>
      <c r="Q33" s="558"/>
    </row>
    <row r="34" spans="2:17" ht="15.75" thickBot="1" x14ac:dyDescent="0.3">
      <c r="B34" s="557"/>
      <c r="C34" s="378"/>
      <c r="D34" s="721" t="s">
        <v>311</v>
      </c>
      <c r="E34" s="196">
        <f>SUM(E27:E33)</f>
        <v>0</v>
      </c>
      <c r="F34" s="197">
        <f>SUM(F27:F33)</f>
        <v>0</v>
      </c>
      <c r="G34" s="570"/>
      <c r="H34" s="571"/>
      <c r="I34" s="722"/>
      <c r="J34" s="1844"/>
      <c r="K34" s="1844"/>
      <c r="L34" s="1844"/>
      <c r="M34" s="1844"/>
      <c r="N34" s="1844"/>
      <c r="O34" s="722"/>
      <c r="P34" s="722"/>
      <c r="Q34" s="572"/>
    </row>
    <row r="35" spans="2:17" ht="3.75" customHeight="1" thickBot="1" x14ac:dyDescent="0.3">
      <c r="B35" s="557"/>
      <c r="C35" s="193"/>
      <c r="D35" s="193"/>
      <c r="E35" s="194"/>
      <c r="F35" s="194"/>
      <c r="G35" s="192"/>
      <c r="H35" s="573"/>
      <c r="I35" s="722"/>
      <c r="J35" s="1844"/>
      <c r="K35" s="1844"/>
      <c r="L35" s="1844"/>
      <c r="M35" s="1844"/>
      <c r="N35" s="1844"/>
      <c r="O35" s="722"/>
      <c r="P35" s="722"/>
      <c r="Q35" s="572"/>
    </row>
    <row r="36" spans="2:17" ht="15.75" thickBot="1" x14ac:dyDescent="0.3">
      <c r="B36" s="557"/>
      <c r="C36" s="378"/>
      <c r="D36" s="722"/>
      <c r="E36" s="2153" t="s">
        <v>313</v>
      </c>
      <c r="F36" s="198">
        <f>E34+F34</f>
        <v>0</v>
      </c>
      <c r="G36" s="2486" t="str">
        <f>IF(AND('6A'!K121&lt;&gt;0,'7A'!F36&lt;&gt;'6A'!K121),"WARNING: Does not match Form 6A","")</f>
        <v/>
      </c>
      <c r="H36" s="2487"/>
      <c r="I36" s="2487"/>
      <c r="J36" s="1844"/>
      <c r="K36" s="1844"/>
      <c r="L36" s="1844"/>
      <c r="M36" s="1844"/>
      <c r="N36" s="1844"/>
      <c r="O36" s="722"/>
      <c r="P36" s="722"/>
      <c r="Q36" s="572"/>
    </row>
    <row r="37" spans="2:17" ht="3.75" customHeight="1" x14ac:dyDescent="0.25">
      <c r="B37" s="557"/>
      <c r="C37" s="378"/>
      <c r="D37" s="1032"/>
      <c r="E37" s="1075"/>
      <c r="F37" s="195"/>
      <c r="G37" s="192"/>
      <c r="H37" s="573"/>
      <c r="I37" s="722"/>
      <c r="J37" s="1844"/>
      <c r="K37" s="1844"/>
      <c r="L37" s="1844"/>
      <c r="M37" s="1844"/>
      <c r="N37" s="1844"/>
      <c r="O37" s="722"/>
      <c r="P37" s="722"/>
      <c r="Q37" s="572"/>
    </row>
    <row r="38" spans="2:17" ht="7.5" customHeight="1" x14ac:dyDescent="0.25">
      <c r="B38" s="557"/>
      <c r="C38" s="1844"/>
      <c r="D38" s="1844"/>
      <c r="E38" s="365"/>
      <c r="F38" s="574"/>
      <c r="G38" s="365"/>
      <c r="H38" s="1844"/>
      <c r="I38" s="1844"/>
      <c r="J38" s="1844"/>
      <c r="K38" s="1844"/>
      <c r="L38" s="1844"/>
      <c r="M38" s="1844"/>
      <c r="N38" s="1844"/>
      <c r="O38" s="1844"/>
      <c r="P38" s="1844"/>
      <c r="Q38" s="558"/>
    </row>
    <row r="39" spans="2:17" ht="15.75" thickBot="1" x14ac:dyDescent="0.3">
      <c r="B39" s="557"/>
      <c r="C39" s="2323" t="s">
        <v>314</v>
      </c>
      <c r="D39" s="2410"/>
      <c r="E39" s="2323"/>
      <c r="F39" s="2323"/>
      <c r="G39" s="2323"/>
      <c r="H39" s="2323"/>
      <c r="I39" s="2323"/>
      <c r="J39" s="2323"/>
      <c r="K39" s="2488"/>
      <c r="L39" s="2323"/>
      <c r="M39" s="2323"/>
      <c r="N39" s="2323"/>
      <c r="O39" s="2323"/>
      <c r="P39" s="2323"/>
      <c r="Q39" s="558"/>
    </row>
    <row r="40" spans="2:17" ht="27" thickBot="1" x14ac:dyDescent="0.3">
      <c r="B40" s="557"/>
      <c r="C40" s="1073" t="s">
        <v>640</v>
      </c>
      <c r="D40" s="745" t="s">
        <v>644</v>
      </c>
      <c r="E40" s="1860" t="s">
        <v>299</v>
      </c>
      <c r="F40" s="1860" t="s">
        <v>300</v>
      </c>
      <c r="G40" s="1860" t="s">
        <v>307</v>
      </c>
      <c r="H40" s="563" t="s">
        <v>308</v>
      </c>
      <c r="I40" s="563" t="s">
        <v>309</v>
      </c>
      <c r="J40" s="1860" t="s">
        <v>552</v>
      </c>
      <c r="K40" s="745" t="s">
        <v>1432</v>
      </c>
      <c r="L40" s="745" t="s">
        <v>1431</v>
      </c>
      <c r="M40" s="562" t="s">
        <v>301</v>
      </c>
      <c r="N40" s="562" t="s">
        <v>310</v>
      </c>
      <c r="O40" s="563" t="s">
        <v>302</v>
      </c>
      <c r="P40" s="1861" t="s">
        <v>509</v>
      </c>
      <c r="Q40" s="558"/>
    </row>
    <row r="41" spans="2:17" x14ac:dyDescent="0.25">
      <c r="B41" s="557"/>
      <c r="C41" s="756"/>
      <c r="D41" s="2200" t="s">
        <v>541</v>
      </c>
      <c r="E41" s="757"/>
      <c r="F41" s="748"/>
      <c r="G41" s="758" t="s">
        <v>553</v>
      </c>
      <c r="H41" s="768"/>
      <c r="I41" s="759"/>
      <c r="J41" s="1691" t="s">
        <v>541</v>
      </c>
      <c r="K41" s="1698"/>
      <c r="L41" s="1700" t="s">
        <v>541</v>
      </c>
      <c r="M41" s="769"/>
      <c r="N41" s="768"/>
      <c r="O41" s="768"/>
      <c r="P41" s="770"/>
      <c r="Q41" s="558"/>
    </row>
    <row r="42" spans="2:17" x14ac:dyDescent="0.25">
      <c r="B42" s="557"/>
      <c r="C42" s="762"/>
      <c r="D42" s="773"/>
      <c r="E42" s="763"/>
      <c r="F42" s="753"/>
      <c r="G42" s="764"/>
      <c r="H42" s="771"/>
      <c r="I42" s="765"/>
      <c r="J42" s="1692"/>
      <c r="K42" s="1699"/>
      <c r="L42" s="1701"/>
      <c r="M42" s="772"/>
      <c r="N42" s="771"/>
      <c r="O42" s="771"/>
      <c r="P42" s="773"/>
      <c r="Q42" s="558"/>
    </row>
    <row r="43" spans="2:17" ht="7.5" customHeight="1" thickBot="1" x14ac:dyDescent="0.3">
      <c r="B43" s="557"/>
      <c r="C43" s="1545"/>
      <c r="D43" s="1546"/>
      <c r="E43" s="1547"/>
      <c r="F43" s="1541"/>
      <c r="G43" s="1548"/>
      <c r="H43" s="1525"/>
      <c r="I43" s="1549"/>
      <c r="J43" s="1693"/>
      <c r="K43" s="1697"/>
      <c r="L43" s="1702"/>
      <c r="M43" s="1552"/>
      <c r="N43" s="1525"/>
      <c r="O43" s="1525"/>
      <c r="P43" s="1553"/>
      <c r="Q43" s="558"/>
    </row>
    <row r="44" spans="2:17" ht="15.75" thickBot="1" x14ac:dyDescent="0.3">
      <c r="B44" s="557"/>
      <c r="C44" s="378"/>
      <c r="D44" s="721" t="s">
        <v>311</v>
      </c>
      <c r="E44" s="575">
        <f>SUM(E41:E43)</f>
        <v>0</v>
      </c>
      <c r="F44" s="576">
        <f>SUM(F41:F43)</f>
        <v>0</v>
      </c>
      <c r="G44" s="192"/>
      <c r="H44" s="722"/>
      <c r="I44" s="1844"/>
      <c r="J44" s="1844"/>
      <c r="K44" s="1844"/>
      <c r="L44" s="1844"/>
      <c r="M44" s="1844"/>
      <c r="N44" s="1844"/>
      <c r="O44" s="1844"/>
      <c r="P44" s="1844"/>
      <c r="Q44" s="558"/>
    </row>
    <row r="45" spans="2:17" ht="3.75" customHeight="1" thickBot="1" x14ac:dyDescent="0.3">
      <c r="B45" s="557"/>
      <c r="C45" s="722"/>
      <c r="D45" s="722"/>
      <c r="E45" s="194"/>
      <c r="F45" s="195"/>
      <c r="G45" s="192"/>
      <c r="H45" s="722"/>
      <c r="I45" s="1844"/>
      <c r="J45" s="1844"/>
      <c r="K45" s="1844"/>
      <c r="L45" s="1844"/>
      <c r="M45" s="1844"/>
      <c r="N45" s="1844"/>
      <c r="O45" s="1844"/>
      <c r="P45" s="1844"/>
      <c r="Q45" s="558"/>
    </row>
    <row r="46" spans="2:17" ht="16.5" customHeight="1" thickBot="1" x14ac:dyDescent="0.3">
      <c r="B46" s="557"/>
      <c r="C46" s="378"/>
      <c r="D46" s="722"/>
      <c r="E46" s="2153" t="s">
        <v>315</v>
      </c>
      <c r="F46" s="198">
        <f>E44+F44</f>
        <v>0</v>
      </c>
      <c r="G46" s="2486" t="str">
        <f>IF(('7A'!F46&lt;&gt;'6A'!S121),"WARNING: Does not match Form 6A","")</f>
        <v/>
      </c>
      <c r="H46" s="2487"/>
      <c r="I46" s="2487"/>
      <c r="J46" s="722"/>
      <c r="K46" s="722"/>
      <c r="L46" s="722"/>
      <c r="M46" s="722"/>
      <c r="N46" s="722"/>
      <c r="O46" s="722"/>
      <c r="P46" s="1844"/>
      <c r="Q46" s="558"/>
    </row>
    <row r="47" spans="2:17" ht="3.75" customHeight="1" thickBot="1" x14ac:dyDescent="0.3">
      <c r="B47" s="1554"/>
      <c r="C47" s="378"/>
      <c r="D47" s="378"/>
      <c r="E47" s="378"/>
      <c r="F47" s="378"/>
      <c r="G47" s="378"/>
      <c r="H47" s="378"/>
      <c r="I47" s="378"/>
      <c r="J47" s="378"/>
      <c r="K47" s="378"/>
      <c r="L47" s="378"/>
      <c r="M47" s="378"/>
      <c r="N47" s="378"/>
      <c r="O47" s="378"/>
      <c r="P47" s="378"/>
      <c r="Q47" s="1555"/>
    </row>
    <row r="48" spans="2:17" ht="16.5" thickTop="1" thickBot="1" x14ac:dyDescent="0.3">
      <c r="B48" s="1554"/>
      <c r="C48" s="378"/>
      <c r="D48" s="378"/>
      <c r="E48" s="1556" t="s">
        <v>645</v>
      </c>
      <c r="F48" s="1557">
        <f>F36+F46</f>
        <v>0</v>
      </c>
      <c r="G48" s="378"/>
      <c r="H48" s="378"/>
      <c r="I48" s="378"/>
      <c r="J48" s="378"/>
      <c r="K48" s="378"/>
      <c r="L48" s="378"/>
      <c r="M48" s="378"/>
      <c r="N48" s="378"/>
      <c r="O48" s="378"/>
      <c r="P48" s="378"/>
      <c r="Q48" s="1555"/>
    </row>
    <row r="49" spans="2:17" ht="9" customHeight="1" thickTop="1" thickBot="1" x14ac:dyDescent="0.3">
      <c r="B49" s="577"/>
      <c r="C49" s="578"/>
      <c r="D49" s="578"/>
      <c r="E49" s="580"/>
      <c r="F49" s="581"/>
      <c r="G49" s="581"/>
      <c r="H49" s="582"/>
      <c r="I49" s="582"/>
      <c r="J49" s="579"/>
      <c r="K49" s="579"/>
      <c r="L49" s="579"/>
      <c r="M49" s="579"/>
      <c r="N49" s="579"/>
      <c r="O49" s="582"/>
      <c r="P49" s="582"/>
      <c r="Q49" s="583"/>
    </row>
  </sheetData>
  <sheetProtection algorithmName="SHA-512" hashValue="iYyPlR5yeYL6p3Oakk+wGFZG5jwWoBX/EGJPwG92GEjdQs72qloJkbrXYRW2ZgLKcpEYFfyQnXhz5Hysf9GxKg==" saltValue="ltvwSq2vvEU1mx+1kuO4WA==" spinCount="100000" sheet="1" formatCells="0" formatColumns="0" formatRows="0" insertRows="0"/>
  <mergeCells count="12">
    <mergeCell ref="G46:I46"/>
    <mergeCell ref="J19:M19"/>
    <mergeCell ref="J20:M20"/>
    <mergeCell ref="C25:P25"/>
    <mergeCell ref="C39:P39"/>
    <mergeCell ref="J18:M18"/>
    <mergeCell ref="G36:I36"/>
    <mergeCell ref="C10:P10"/>
    <mergeCell ref="C12:M12"/>
    <mergeCell ref="C14:M14"/>
    <mergeCell ref="J15:M15"/>
    <mergeCell ref="J16:M16"/>
  </mergeCells>
  <conditionalFormatting sqref="L27:P32 L41:P42">
    <cfRule type="expression" dxfId="51" priority="12">
      <formula>$K27="Non-Recoverable"</formula>
    </cfRule>
  </conditionalFormatting>
  <conditionalFormatting sqref="G36:I36">
    <cfRule type="containsText" dxfId="50" priority="10" operator="containsText" text="warning">
      <formula>NOT(ISERROR(SEARCH("warning",G36)))</formula>
    </cfRule>
  </conditionalFormatting>
  <conditionalFormatting sqref="G46:I46">
    <cfRule type="containsText" dxfId="49" priority="9" operator="containsText" text="warning">
      <formula>NOT(ISERROR(SEARCH("warning",G46)))</formula>
    </cfRule>
  </conditionalFormatting>
  <conditionalFormatting sqref="D27">
    <cfRule type="expression" dxfId="48" priority="4">
      <formula>AND($C$27&lt;&gt;"",$D$27="Select…")</formula>
    </cfRule>
    <cfRule type="expression" dxfId="47" priority="8">
      <formula>AND($C27&lt;&gt;"",D27="")</formula>
    </cfRule>
  </conditionalFormatting>
  <conditionalFormatting sqref="D28:D32">
    <cfRule type="expression" dxfId="46" priority="7">
      <formula>AND($C28&lt;&gt;"",D28="")</formula>
    </cfRule>
  </conditionalFormatting>
  <conditionalFormatting sqref="D41">
    <cfRule type="expression" dxfId="45" priority="3">
      <formula>AND($C$41&lt;&gt;"",$D$41="Select…")</formula>
    </cfRule>
    <cfRule type="expression" dxfId="44" priority="6">
      <formula>AND($C41&lt;&gt;"",D41="")</formula>
    </cfRule>
  </conditionalFormatting>
  <conditionalFormatting sqref="D42">
    <cfRule type="expression" dxfId="43" priority="5">
      <formula>AND($C42&lt;&gt;"",D42="")</formula>
    </cfRule>
  </conditionalFormatting>
  <conditionalFormatting sqref="D16">
    <cfRule type="expression" dxfId="42" priority="1">
      <formula>AND($C$16&lt;&gt;"",$D$16="Select…")</formula>
    </cfRule>
    <cfRule type="expression" dxfId="41" priority="2">
      <formula>AND($C16&lt;&gt;"",D16="")</formula>
    </cfRule>
  </conditionalFormatting>
  <dataValidations count="11">
    <dataValidation type="list" allowBlank="1" showInputMessage="1" showErrorMessage="1" sqref="K41" xr:uid="{00000000-0002-0000-1600-000000000000}">
      <formula1>INDIRECT(J27)</formula1>
    </dataValidation>
    <dataValidation type="list" allowBlank="1" showInputMessage="1" showErrorMessage="1" sqref="D41:D42" xr:uid="{00000000-0002-0000-1600-000001000000}">
      <formula1>NonRes_FundSource</formula1>
    </dataValidation>
    <dataValidation type="list" allowBlank="1" showInputMessage="1" showErrorMessage="1" sqref="D16:D19 D27:D32" xr:uid="{00000000-0002-0000-1600-000002000000}">
      <formula1>Fund_Source</formula1>
    </dataValidation>
    <dataValidation type="list" allowBlank="1" showInputMessage="1" showErrorMessage="1" sqref="G27:G32 G41:G42" xr:uid="{00000000-0002-0000-1600-000003000000}">
      <formula1>"Select...,Public,Private"</formula1>
    </dataValidation>
    <dataValidation type="list" allowBlank="1" showInputMessage="1" showErrorMessage="1" sqref="G33 G43" xr:uid="{00000000-0002-0000-1600-000004000000}">
      <formula1>"Public,Private"</formula1>
    </dataValidation>
    <dataValidation type="list" allowBlank="1" showInputMessage="1" showErrorMessage="1" sqref="J41:J43 J27:J33" xr:uid="{00000000-0002-0000-1600-000005000000}">
      <formula1>G_or_L</formula1>
    </dataValidation>
    <dataValidation type="list" allowBlank="1" showInputMessage="1" showErrorMessage="1" sqref="K27:K32" xr:uid="{00000000-0002-0000-1600-000006000000}">
      <formula1>INDIRECT(J27)</formula1>
    </dataValidation>
    <dataValidation type="list" allowBlank="1" showInputMessage="1" showErrorMessage="1" sqref="K33" xr:uid="{00000000-0002-0000-1600-000007000000}">
      <formula1>INDIRECT(J27)</formula1>
    </dataValidation>
    <dataValidation type="list" allowBlank="1" showInputMessage="1" showErrorMessage="1" sqref="K42" xr:uid="{00000000-0002-0000-1600-000008000000}">
      <formula1>INDIRECT(J27)</formula1>
    </dataValidation>
    <dataValidation type="list" allowBlank="1" showInputMessage="1" showErrorMessage="1" sqref="K43" xr:uid="{00000000-0002-0000-1600-000009000000}">
      <formula1>INDIRECT(J27)</formula1>
    </dataValidation>
    <dataValidation type="list" allowBlank="1" showInputMessage="1" showErrorMessage="1" sqref="L27:L33 L41:L43" xr:uid="{00000000-0002-0000-1600-00000A000000}">
      <formula1>Debt_Type</formula1>
    </dataValidation>
  </dataValidations>
  <pageMargins left="0.25" right="0.25" top="0.75" bottom="0.75" header="0.3" footer="0.3"/>
  <pageSetup paperSize="5" scale="91" orientation="landscape" r:id="rId1"/>
  <headerFooter>
    <oddFooter>&amp;LForm 7A
Financing Sources&amp;CCFA Forms</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7"/>
  <sheetViews>
    <sheetView workbookViewId="0">
      <selection activeCell="E6" sqref="E6"/>
    </sheetView>
  </sheetViews>
  <sheetFormatPr defaultRowHeight="15" x14ac:dyDescent="0.25"/>
  <cols>
    <col min="1" max="1" width="13.7109375" bestFit="1" customWidth="1"/>
    <col min="2" max="2" width="22.140625" bestFit="1" customWidth="1"/>
    <col min="3" max="3" width="22.42578125" bestFit="1" customWidth="1"/>
    <col min="4" max="4" width="16" bestFit="1" customWidth="1"/>
    <col min="5" max="5" width="13.7109375" bestFit="1" customWidth="1"/>
    <col min="6" max="6" width="22.7109375" bestFit="1" customWidth="1"/>
    <col min="7" max="7" width="23.5703125" bestFit="1" customWidth="1"/>
  </cols>
  <sheetData>
    <row r="1" spans="1:7" ht="15.75" thickBot="1" x14ac:dyDescent="0.3">
      <c r="A1" s="2275" t="s">
        <v>1824</v>
      </c>
      <c r="B1" s="2275" t="s">
        <v>2005</v>
      </c>
      <c r="C1" s="2275" t="s">
        <v>2006</v>
      </c>
      <c r="D1" s="2275" t="s">
        <v>2007</v>
      </c>
      <c r="E1" s="2276" t="s">
        <v>2008</v>
      </c>
      <c r="F1" s="2275" t="s">
        <v>2009</v>
      </c>
      <c r="G1" s="2275" t="s">
        <v>2010</v>
      </c>
    </row>
    <row r="2" spans="1:7" x14ac:dyDescent="0.25">
      <c r="A2" s="1970"/>
      <c r="B2" s="1970">
        <f>'7A'!C27</f>
        <v>0</v>
      </c>
      <c r="C2" s="2277">
        <f>'7A'!F27</f>
        <v>0</v>
      </c>
      <c r="D2" s="1970">
        <f>('7A'!M27)*100</f>
        <v>0</v>
      </c>
      <c r="E2" s="1970">
        <f>'7A'!N27</f>
        <v>0</v>
      </c>
      <c r="F2" s="1970">
        <f>'7A'!O27</f>
        <v>0</v>
      </c>
      <c r="G2" s="1970">
        <f>'7A'!P27</f>
        <v>0</v>
      </c>
    </row>
    <row r="3" spans="1:7" x14ac:dyDescent="0.25">
      <c r="A3" s="1970"/>
      <c r="B3" s="1970">
        <f>'7A'!C28</f>
        <v>0</v>
      </c>
      <c r="C3" s="2277">
        <f>'7A'!F28</f>
        <v>0</v>
      </c>
      <c r="D3" s="1970">
        <f>('7A'!M28)*100</f>
        <v>0</v>
      </c>
      <c r="E3" s="1970">
        <f>'7A'!N28</f>
        <v>0</v>
      </c>
      <c r="F3" s="1970">
        <f>'7A'!O28</f>
        <v>0</v>
      </c>
      <c r="G3" s="1970">
        <f>'7A'!P27</f>
        <v>0</v>
      </c>
    </row>
    <row r="4" spans="1:7" x14ac:dyDescent="0.25">
      <c r="A4" s="1970"/>
      <c r="B4" s="1970">
        <f>'7A'!C29</f>
        <v>0</v>
      </c>
      <c r="C4" s="2277">
        <f>'7A'!F29</f>
        <v>0</v>
      </c>
      <c r="D4" s="1970">
        <f>('7A'!M29)*100</f>
        <v>0</v>
      </c>
      <c r="E4" s="1970">
        <f>'7A'!N29</f>
        <v>0</v>
      </c>
      <c r="F4" s="1970">
        <f>'7A'!O29</f>
        <v>0</v>
      </c>
      <c r="G4" s="1970">
        <f>'7A'!P28</f>
        <v>0</v>
      </c>
    </row>
    <row r="5" spans="1:7" x14ac:dyDescent="0.25">
      <c r="A5" s="1970"/>
      <c r="B5" s="1970">
        <f>'7A'!C30</f>
        <v>0</v>
      </c>
      <c r="C5" s="2277">
        <f>'7A'!F30</f>
        <v>0</v>
      </c>
      <c r="D5" s="1970">
        <f>('7A'!M30)*100</f>
        <v>0</v>
      </c>
      <c r="E5" s="1970">
        <f>'7A'!N30</f>
        <v>0</v>
      </c>
      <c r="F5" s="1970">
        <f>'7A'!O30</f>
        <v>0</v>
      </c>
      <c r="G5" s="1970">
        <f>'7A'!P29</f>
        <v>0</v>
      </c>
    </row>
    <row r="6" spans="1:7" x14ac:dyDescent="0.25">
      <c r="A6" s="1970"/>
      <c r="B6" s="1970">
        <f>'7A'!C31</f>
        <v>0</v>
      </c>
      <c r="C6" s="2277">
        <f>'7A'!F31</f>
        <v>0</v>
      </c>
      <c r="D6" s="1970">
        <f>('7A'!M31)*100</f>
        <v>0</v>
      </c>
      <c r="E6" s="1970">
        <f>'7A'!N31</f>
        <v>0</v>
      </c>
      <c r="F6" s="1970">
        <f>'7A'!O31</f>
        <v>0</v>
      </c>
      <c r="G6" s="1970">
        <f>'7A'!P30</f>
        <v>0</v>
      </c>
    </row>
    <row r="7" spans="1:7" x14ac:dyDescent="0.25">
      <c r="A7" s="1970"/>
      <c r="B7" s="1970">
        <f>'7A'!C32</f>
        <v>0</v>
      </c>
      <c r="C7" s="2277">
        <f>'7A'!F32</f>
        <v>0</v>
      </c>
      <c r="D7" s="1970">
        <f>('7A'!M32)*100</f>
        <v>0</v>
      </c>
      <c r="E7" s="1970">
        <f>'7A'!N32</f>
        <v>0</v>
      </c>
      <c r="F7" s="1970">
        <f>'7A'!O32</f>
        <v>0</v>
      </c>
      <c r="G7" s="1970">
        <f>'7A'!P31</f>
        <v>0</v>
      </c>
    </row>
  </sheetData>
  <sheetProtection algorithmName="SHA-512" hashValue="ntDUStyIq1BhNgPKOB3wdiJBEypP6uHZKa2Tpul5IIq7R67P4fv0kO9qkf7P6IDBA/ebBGgNNADSABQunNUADg==" saltValue="VCJLW85e/6ZE7vVZRlxzug==" spinCount="100000"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7:AN62"/>
  <sheetViews>
    <sheetView showGridLines="0" zoomScaleNormal="100" zoomScaleSheetLayoutView="100" workbookViewId="0">
      <selection activeCell="G45" sqref="G45"/>
    </sheetView>
  </sheetViews>
  <sheetFormatPr defaultColWidth="9.140625" defaultRowHeight="15" x14ac:dyDescent="0.25"/>
  <cols>
    <col min="1" max="2" width="1.7109375" style="395" customWidth="1"/>
    <col min="3" max="3" width="20.28515625" style="395" bestFit="1" customWidth="1"/>
    <col min="4" max="4" width="12.85546875" style="395" bestFit="1" customWidth="1"/>
    <col min="5" max="13" width="12" style="395" bestFit="1" customWidth="1"/>
    <col min="14" max="17" width="12" style="395" customWidth="1"/>
    <col min="18" max="20" width="3" style="395" customWidth="1"/>
    <col min="21" max="26" width="12" style="395" customWidth="1"/>
    <col min="27" max="27" width="13.5703125" style="395" bestFit="1" customWidth="1"/>
    <col min="28" max="31" width="12" style="395" bestFit="1" customWidth="1"/>
    <col min="32" max="33" width="12" style="395" customWidth="1"/>
    <col min="34" max="34" width="12.85546875" style="395" bestFit="1" customWidth="1"/>
    <col min="35" max="35" width="13.5703125" style="395" bestFit="1" customWidth="1"/>
    <col min="36" max="36" width="2.28515625" style="395" customWidth="1"/>
    <col min="37" max="37" width="9.140625" style="395"/>
    <col min="38" max="38" width="20.28515625" style="395" bestFit="1" customWidth="1"/>
    <col min="39" max="16384" width="9.140625" style="395"/>
  </cols>
  <sheetData>
    <row r="7" spans="2:40" ht="9" customHeight="1" thickBot="1" x14ac:dyDescent="0.3"/>
    <row r="8" spans="2:40" ht="9" customHeight="1" x14ac:dyDescent="0.25">
      <c r="B8" s="584"/>
      <c r="C8" s="435"/>
      <c r="D8" s="435"/>
      <c r="E8" s="435"/>
      <c r="F8" s="435"/>
      <c r="G8" s="435"/>
      <c r="H8" s="435"/>
      <c r="I8" s="435"/>
      <c r="J8" s="435"/>
      <c r="K8" s="435"/>
      <c r="L8" s="1558"/>
      <c r="M8" s="1558"/>
      <c r="N8" s="1558"/>
      <c r="O8" s="1558"/>
      <c r="P8" s="1558"/>
      <c r="Q8" s="1558"/>
      <c r="R8" s="1559"/>
      <c r="S8" s="2216"/>
      <c r="T8" s="1651"/>
      <c r="U8" s="1558"/>
      <c r="V8" s="1558"/>
      <c r="W8" s="1558"/>
      <c r="X8" s="1558"/>
      <c r="Y8" s="1558"/>
      <c r="Z8" s="1558"/>
      <c r="AA8" s="1558"/>
      <c r="AB8" s="1558"/>
      <c r="AC8" s="1558"/>
      <c r="AD8" s="1558"/>
      <c r="AE8" s="1558"/>
      <c r="AF8" s="1558"/>
      <c r="AG8" s="1558"/>
      <c r="AH8" s="1558"/>
      <c r="AI8" s="1558"/>
      <c r="AJ8" s="1559"/>
    </row>
    <row r="9" spans="2:40" ht="18.75" x14ac:dyDescent="0.3">
      <c r="B9" s="585"/>
      <c r="C9" s="2204" t="s">
        <v>537</v>
      </c>
      <c r="D9" s="2204"/>
      <c r="E9" s="2204"/>
      <c r="F9" s="2204"/>
      <c r="G9" s="2204"/>
      <c r="H9" s="2204"/>
      <c r="I9" s="2204"/>
      <c r="J9" s="2204"/>
      <c r="K9" s="2204"/>
      <c r="L9" s="2204"/>
      <c r="M9" s="2204"/>
      <c r="N9" s="2204"/>
      <c r="O9" s="2204"/>
      <c r="P9" s="2204"/>
      <c r="Q9" s="2204"/>
      <c r="R9" s="2217"/>
      <c r="S9" s="2218"/>
      <c r="T9" s="2219"/>
      <c r="U9" s="2204" t="s">
        <v>1811</v>
      </c>
      <c r="V9" s="2204"/>
      <c r="W9" s="2204"/>
      <c r="X9" s="2204"/>
      <c r="Y9" s="2204"/>
      <c r="Z9" s="2204"/>
      <c r="AA9" s="2204"/>
      <c r="AB9" s="2204"/>
      <c r="AC9" s="2204"/>
      <c r="AD9" s="2204"/>
      <c r="AE9" s="2204"/>
      <c r="AF9" s="2204"/>
      <c r="AG9" s="2204"/>
      <c r="AH9" s="2204"/>
      <c r="AI9" s="2204"/>
      <c r="AJ9" s="1560"/>
    </row>
    <row r="10" spans="2:40" ht="15" customHeight="1" x14ac:dyDescent="0.25">
      <c r="B10" s="585"/>
      <c r="C10" s="407"/>
      <c r="D10" s="407"/>
      <c r="E10" s="407"/>
      <c r="F10" s="407"/>
      <c r="G10" s="407"/>
      <c r="H10" s="407"/>
      <c r="I10" s="407"/>
      <c r="J10" s="407"/>
      <c r="K10" s="407"/>
      <c r="L10" s="1095"/>
      <c r="M10" s="1095"/>
      <c r="N10" s="2205"/>
      <c r="O10" s="2205"/>
      <c r="P10" s="2205"/>
      <c r="Q10" s="2205"/>
      <c r="R10" s="1560"/>
      <c r="S10" s="2205"/>
      <c r="T10" s="2214"/>
      <c r="U10" s="2205"/>
      <c r="V10" s="2205"/>
      <c r="W10" s="2205"/>
      <c r="X10" s="2205"/>
      <c r="Y10" s="2205"/>
      <c r="Z10" s="2205"/>
      <c r="AA10" s="1095"/>
      <c r="AB10" s="1095"/>
      <c r="AC10" s="1095"/>
      <c r="AD10" s="1095"/>
      <c r="AE10" s="1095"/>
      <c r="AF10" s="2205"/>
      <c r="AG10" s="2205"/>
      <c r="AH10" s="1095"/>
      <c r="AI10" s="1095"/>
      <c r="AJ10" s="1560"/>
    </row>
    <row r="11" spans="2:40" ht="15.75" thickBot="1" x14ac:dyDescent="0.3">
      <c r="B11" s="586"/>
      <c r="C11" s="2502" t="str">
        <f>IF('1'!G5="","Enter Project Name on Form 1",(CONCATENATE("Project Name: ",'1'!G5)))</f>
        <v>Enter Project Name on Form 1</v>
      </c>
      <c r="D11" s="2502"/>
      <c r="E11" s="2502"/>
      <c r="F11" s="2502"/>
      <c r="G11" s="2502"/>
      <c r="H11" s="2502"/>
      <c r="I11" s="2502"/>
      <c r="J11" s="2502"/>
      <c r="K11" s="368"/>
      <c r="L11" s="133" t="s">
        <v>316</v>
      </c>
      <c r="M11" s="1093"/>
      <c r="N11" s="2206"/>
      <c r="O11" s="2206"/>
      <c r="P11" s="2206"/>
      <c r="Q11" s="2206"/>
      <c r="R11" s="2209"/>
      <c r="S11" s="2206"/>
      <c r="T11" s="2214"/>
      <c r="U11" s="2502" t="str">
        <f>IF('1'!Y5="","Enter Project Name on Form 1",(CONCATENATE("Project Name: ",'1'!Y5)))</f>
        <v>Enter Project Name on Form 1</v>
      </c>
      <c r="V11" s="2502"/>
      <c r="W11" s="2502"/>
      <c r="X11" s="2502"/>
      <c r="Y11" s="2502"/>
      <c r="Z11" s="2502"/>
      <c r="AA11" s="2502"/>
      <c r="AB11" s="2502"/>
      <c r="AC11" s="368"/>
      <c r="AD11" s="133" t="s">
        <v>316</v>
      </c>
      <c r="AE11" s="2237" t="str">
        <f>IF(M11="","",M11)</f>
        <v/>
      </c>
      <c r="AF11" s="2205"/>
      <c r="AG11" s="2205"/>
      <c r="AH11" s="1095"/>
      <c r="AI11" s="1095"/>
      <c r="AJ11" s="1560"/>
    </row>
    <row r="12" spans="2:40" s="414" customFormat="1" ht="15" customHeight="1" x14ac:dyDescent="0.25">
      <c r="B12" s="586"/>
      <c r="C12" s="1844"/>
      <c r="D12" s="595"/>
      <c r="E12" s="1063"/>
      <c r="F12" s="630"/>
      <c r="G12" s="1064"/>
      <c r="H12" s="595"/>
      <c r="I12" s="595"/>
      <c r="J12" s="595"/>
      <c r="K12" s="382"/>
      <c r="L12" s="1315"/>
      <c r="M12" s="1315"/>
      <c r="N12" s="1315"/>
      <c r="O12" s="1315"/>
      <c r="P12" s="1315"/>
      <c r="Q12" s="1315"/>
      <c r="R12" s="1561"/>
      <c r="S12" s="1315"/>
      <c r="T12" s="2214"/>
      <c r="U12" s="1315"/>
      <c r="V12" s="1315"/>
      <c r="W12" s="1315"/>
      <c r="X12" s="1315"/>
      <c r="Y12" s="1315"/>
      <c r="Z12" s="1315"/>
      <c r="AA12" s="1315"/>
      <c r="AB12" s="1315"/>
      <c r="AC12" s="1315"/>
      <c r="AD12" s="1315"/>
      <c r="AE12" s="1315"/>
      <c r="AF12" s="1315"/>
      <c r="AG12" s="1315"/>
      <c r="AH12" s="1315"/>
      <c r="AI12" s="1315"/>
      <c r="AJ12" s="1561"/>
      <c r="AL12" s="395"/>
      <c r="AM12" s="395"/>
      <c r="AN12" s="395"/>
    </row>
    <row r="13" spans="2:40" s="414" customFormat="1" ht="15" customHeight="1" thickBot="1" x14ac:dyDescent="0.3">
      <c r="B13" s="586"/>
      <c r="L13" s="1315"/>
      <c r="M13" s="1315"/>
      <c r="N13" s="1315"/>
      <c r="O13" s="1315"/>
      <c r="P13" s="1315"/>
      <c r="Q13" s="1315"/>
      <c r="R13" s="1561"/>
      <c r="S13" s="1315"/>
      <c r="T13" s="2214"/>
      <c r="U13" s="1315"/>
      <c r="V13" s="1315"/>
      <c r="W13" s="1315"/>
      <c r="X13" s="1315"/>
      <c r="Y13" s="1315"/>
      <c r="Z13" s="1315"/>
      <c r="AA13" s="1315"/>
      <c r="AB13" s="1315"/>
      <c r="AC13" s="1315"/>
      <c r="AD13" s="1315"/>
      <c r="AE13" s="1315"/>
      <c r="AF13" s="1315"/>
      <c r="AG13" s="1315"/>
      <c r="AH13" s="1315"/>
      <c r="AI13" s="1315"/>
      <c r="AJ13" s="1561"/>
    </row>
    <row r="14" spans="2:40" s="414" customFormat="1" ht="15" customHeight="1" x14ac:dyDescent="0.25">
      <c r="B14" s="586"/>
      <c r="C14" s="161" t="s">
        <v>1812</v>
      </c>
      <c r="D14" s="2120" t="s">
        <v>1816</v>
      </c>
      <c r="E14" s="2121" t="s">
        <v>1817</v>
      </c>
      <c r="F14" s="2121" t="s">
        <v>1818</v>
      </c>
      <c r="G14" s="2121" t="s">
        <v>1813</v>
      </c>
      <c r="H14" s="2121" t="s">
        <v>1814</v>
      </c>
      <c r="I14" s="2121" t="s">
        <v>828</v>
      </c>
      <c r="J14" s="2121" t="s">
        <v>616</v>
      </c>
      <c r="K14" s="2121" t="s">
        <v>828</v>
      </c>
      <c r="L14" s="2121" t="s">
        <v>1813</v>
      </c>
      <c r="M14" s="2121" t="s">
        <v>1813</v>
      </c>
      <c r="N14" s="2121" t="s">
        <v>616</v>
      </c>
      <c r="O14" s="2121" t="s">
        <v>1815</v>
      </c>
      <c r="P14" s="2121" t="s">
        <v>1816</v>
      </c>
      <c r="Q14" s="2122" t="s">
        <v>1817</v>
      </c>
      <c r="R14" s="2210"/>
      <c r="S14" s="2207"/>
      <c r="T14" s="2214"/>
      <c r="U14" s="2120" t="s">
        <v>1818</v>
      </c>
      <c r="V14" s="2121" t="s">
        <v>1813</v>
      </c>
      <c r="W14" s="2121" t="s">
        <v>1814</v>
      </c>
      <c r="X14" s="2121" t="s">
        <v>828</v>
      </c>
      <c r="Y14" s="2121" t="s">
        <v>616</v>
      </c>
      <c r="Z14" s="2121" t="s">
        <v>828</v>
      </c>
      <c r="AA14" s="2121" t="s">
        <v>1813</v>
      </c>
      <c r="AB14" s="2121" t="s">
        <v>1813</v>
      </c>
      <c r="AC14" s="2121" t="s">
        <v>616</v>
      </c>
      <c r="AD14" s="2121" t="s">
        <v>1815</v>
      </c>
      <c r="AE14" s="2121" t="s">
        <v>1816</v>
      </c>
      <c r="AF14" s="2220" t="s">
        <v>1817</v>
      </c>
      <c r="AG14" s="2220" t="s">
        <v>1818</v>
      </c>
      <c r="AH14" s="2122" t="s">
        <v>1813</v>
      </c>
      <c r="AJ14" s="1561"/>
    </row>
    <row r="15" spans="2:40" s="414" customFormat="1" ht="15" customHeight="1" thickBot="1" x14ac:dyDescent="0.3">
      <c r="B15" s="586"/>
      <c r="C15" s="161" t="s">
        <v>1762</v>
      </c>
      <c r="D15" s="2123">
        <v>2019</v>
      </c>
      <c r="E15" s="2124"/>
      <c r="F15" s="2124"/>
      <c r="G15" s="2124">
        <v>2020</v>
      </c>
      <c r="H15" s="2124"/>
      <c r="I15" s="2124"/>
      <c r="J15" s="2124"/>
      <c r="K15" s="2124"/>
      <c r="L15" s="2124"/>
      <c r="M15" s="2124"/>
      <c r="N15" s="2124"/>
      <c r="O15" s="2124"/>
      <c r="P15" s="2124"/>
      <c r="Q15" s="2126"/>
      <c r="R15" s="2229"/>
      <c r="S15" s="2230"/>
      <c r="T15" s="2214"/>
      <c r="U15" s="2236">
        <v>2020</v>
      </c>
      <c r="V15" s="2124">
        <v>2021</v>
      </c>
      <c r="W15" s="2124"/>
      <c r="X15" s="2124"/>
      <c r="Y15" s="2124"/>
      <c r="Z15" s="2124"/>
      <c r="AA15" s="2125"/>
      <c r="AB15" s="2124"/>
      <c r="AC15" s="2124"/>
      <c r="AD15" s="2124"/>
      <c r="AE15" s="2124"/>
      <c r="AF15" s="2124"/>
      <c r="AG15" s="2124"/>
      <c r="AH15" s="2126">
        <v>2022</v>
      </c>
      <c r="AI15" s="2117"/>
      <c r="AJ15" s="1561"/>
    </row>
    <row r="16" spans="2:40" s="414" customFormat="1" ht="15" customHeight="1" thickBot="1" x14ac:dyDescent="0.3">
      <c r="B16" s="586"/>
      <c r="C16" s="130"/>
      <c r="R16" s="2211"/>
      <c r="T16" s="2214"/>
      <c r="AJ16" s="1561"/>
    </row>
    <row r="17" spans="2:38" s="414" customFormat="1" ht="15" customHeight="1" thickBot="1" x14ac:dyDescent="0.3">
      <c r="B17" s="586"/>
      <c r="C17" s="2517" t="s">
        <v>317</v>
      </c>
      <c r="D17" s="2518"/>
      <c r="E17" s="2518"/>
      <c r="F17" s="2518"/>
      <c r="G17" s="2518"/>
      <c r="H17" s="2518"/>
      <c r="I17" s="2518"/>
      <c r="J17" s="2518"/>
      <c r="K17" s="2518"/>
      <c r="L17" s="2150"/>
      <c r="M17" s="2150"/>
      <c r="N17" s="2150"/>
      <c r="O17" s="2150"/>
      <c r="P17" s="2150"/>
      <c r="Q17" s="2235"/>
      <c r="R17" s="2231"/>
      <c r="S17" s="2232"/>
      <c r="T17" s="2214"/>
      <c r="U17" s="2238" t="s">
        <v>1819</v>
      </c>
      <c r="V17" s="2150"/>
      <c r="W17" s="2150"/>
      <c r="X17" s="2150"/>
      <c r="Y17" s="2150"/>
      <c r="Z17" s="2150"/>
      <c r="AA17" s="2151"/>
      <c r="AB17" s="2150"/>
      <c r="AC17" s="2150"/>
      <c r="AD17" s="2150"/>
      <c r="AE17" s="2150"/>
      <c r="AF17" s="2150"/>
      <c r="AG17" s="2150"/>
      <c r="AH17" s="2150"/>
      <c r="AI17" s="2152"/>
      <c r="AJ17" s="1561"/>
    </row>
    <row r="18" spans="2:38" s="414" customFormat="1" ht="15" customHeight="1" thickBot="1" x14ac:dyDescent="0.3">
      <c r="B18" s="586"/>
      <c r="C18" s="2118" t="s">
        <v>297</v>
      </c>
      <c r="R18" s="2211"/>
      <c r="T18" s="2214"/>
      <c r="AI18" s="2149" t="s">
        <v>327</v>
      </c>
      <c r="AJ18" s="1561"/>
    </row>
    <row r="19" spans="2:38" s="414" customFormat="1" ht="15" customHeight="1" x14ac:dyDescent="0.25">
      <c r="B19" s="586"/>
      <c r="C19" s="2262"/>
      <c r="D19" s="1103">
        <v>0</v>
      </c>
      <c r="E19" s="1104">
        <v>0</v>
      </c>
      <c r="F19" s="1104">
        <v>0</v>
      </c>
      <c r="G19" s="1104">
        <v>0</v>
      </c>
      <c r="H19" s="1104">
        <v>0</v>
      </c>
      <c r="I19" s="1104">
        <v>0</v>
      </c>
      <c r="J19" s="1104">
        <v>0</v>
      </c>
      <c r="K19" s="1104">
        <v>0</v>
      </c>
      <c r="L19" s="1104">
        <v>0</v>
      </c>
      <c r="M19" s="1104">
        <v>0</v>
      </c>
      <c r="N19" s="1104">
        <v>0</v>
      </c>
      <c r="O19" s="1104">
        <v>0</v>
      </c>
      <c r="P19" s="1104">
        <v>0</v>
      </c>
      <c r="Q19" s="1105">
        <v>0</v>
      </c>
      <c r="R19" s="2212"/>
      <c r="S19" s="2208"/>
      <c r="T19" s="2214"/>
      <c r="U19" s="2223">
        <v>0</v>
      </c>
      <c r="V19" s="1104">
        <v>0</v>
      </c>
      <c r="W19" s="1104">
        <v>0</v>
      </c>
      <c r="X19" s="1104">
        <v>0</v>
      </c>
      <c r="Y19" s="1104">
        <v>0</v>
      </c>
      <c r="Z19" s="1104">
        <v>0</v>
      </c>
      <c r="AA19" s="1104">
        <v>0</v>
      </c>
      <c r="AB19" s="1104">
        <v>0</v>
      </c>
      <c r="AC19" s="1104">
        <v>0</v>
      </c>
      <c r="AD19" s="1104">
        <v>0</v>
      </c>
      <c r="AE19" s="1104">
        <v>0</v>
      </c>
      <c r="AF19" s="1104">
        <v>0</v>
      </c>
      <c r="AG19" s="1104">
        <v>0</v>
      </c>
      <c r="AH19" s="1105">
        <v>0</v>
      </c>
      <c r="AI19" s="1562">
        <f>SUM(D19:Q19)+SUM(U19:AH19)</f>
        <v>0</v>
      </c>
      <c r="AJ19" s="1561"/>
      <c r="AL19"/>
    </row>
    <row r="20" spans="2:38" s="414" customFormat="1" ht="15" customHeight="1" x14ac:dyDescent="0.25">
      <c r="B20" s="586"/>
      <c r="C20" s="2263"/>
      <c r="D20" s="1106">
        <v>0</v>
      </c>
      <c r="E20" s="1107">
        <v>0</v>
      </c>
      <c r="F20" s="1107">
        <v>0</v>
      </c>
      <c r="G20" s="1107">
        <v>0</v>
      </c>
      <c r="H20" s="1107">
        <v>0</v>
      </c>
      <c r="I20" s="1107">
        <v>0</v>
      </c>
      <c r="J20" s="1107">
        <v>0</v>
      </c>
      <c r="K20" s="1107">
        <v>0</v>
      </c>
      <c r="L20" s="1107">
        <v>0</v>
      </c>
      <c r="M20" s="1107">
        <v>0</v>
      </c>
      <c r="N20" s="1107">
        <v>0</v>
      </c>
      <c r="O20" s="1107">
        <v>0</v>
      </c>
      <c r="P20" s="1107">
        <v>0</v>
      </c>
      <c r="Q20" s="1108">
        <v>0</v>
      </c>
      <c r="R20" s="2212"/>
      <c r="S20" s="2208"/>
      <c r="T20" s="2214"/>
      <c r="U20" s="2224">
        <v>0</v>
      </c>
      <c r="V20" s="1107">
        <v>0</v>
      </c>
      <c r="W20" s="1107">
        <v>0</v>
      </c>
      <c r="X20" s="1107">
        <v>0</v>
      </c>
      <c r="Y20" s="1107">
        <v>0</v>
      </c>
      <c r="Z20" s="1107">
        <v>0</v>
      </c>
      <c r="AA20" s="1107">
        <v>0</v>
      </c>
      <c r="AB20" s="1107">
        <v>0</v>
      </c>
      <c r="AC20" s="1107">
        <v>0</v>
      </c>
      <c r="AD20" s="1107">
        <v>0</v>
      </c>
      <c r="AE20" s="1107">
        <v>0</v>
      </c>
      <c r="AF20" s="1107">
        <v>0</v>
      </c>
      <c r="AG20" s="1107">
        <v>0</v>
      </c>
      <c r="AH20" s="1108">
        <v>0</v>
      </c>
      <c r="AI20" s="1563">
        <f t="shared" ref="AI20:AI22" si="0">SUM(D20:Q20)+SUM(U20:AH20)</f>
        <v>0</v>
      </c>
      <c r="AJ20" s="1561"/>
      <c r="AL20"/>
    </row>
    <row r="21" spans="2:38" s="414" customFormat="1" ht="15" customHeight="1" x14ac:dyDescent="0.25">
      <c r="B21" s="586"/>
      <c r="C21" s="2263"/>
      <c r="D21" s="1106">
        <v>0</v>
      </c>
      <c r="E21" s="1107">
        <v>0</v>
      </c>
      <c r="F21" s="1107">
        <v>0</v>
      </c>
      <c r="G21" s="1107">
        <v>0</v>
      </c>
      <c r="H21" s="1107">
        <v>0</v>
      </c>
      <c r="I21" s="1107">
        <v>0</v>
      </c>
      <c r="J21" s="1107">
        <v>0</v>
      </c>
      <c r="K21" s="1107">
        <v>0</v>
      </c>
      <c r="L21" s="1107">
        <v>0</v>
      </c>
      <c r="M21" s="1107">
        <v>0</v>
      </c>
      <c r="N21" s="1107">
        <v>0</v>
      </c>
      <c r="O21" s="1107">
        <v>0</v>
      </c>
      <c r="P21" s="1107">
        <v>0</v>
      </c>
      <c r="Q21" s="1108">
        <v>0</v>
      </c>
      <c r="R21" s="2212"/>
      <c r="S21" s="2208"/>
      <c r="T21" s="2214"/>
      <c r="U21" s="2224">
        <v>0</v>
      </c>
      <c r="V21" s="1107">
        <v>0</v>
      </c>
      <c r="W21" s="1107">
        <v>0</v>
      </c>
      <c r="X21" s="1107">
        <v>0</v>
      </c>
      <c r="Y21" s="1107">
        <v>0</v>
      </c>
      <c r="Z21" s="1107">
        <v>0</v>
      </c>
      <c r="AA21" s="1107">
        <v>0</v>
      </c>
      <c r="AB21" s="1107">
        <v>0</v>
      </c>
      <c r="AC21" s="1107">
        <v>0</v>
      </c>
      <c r="AD21" s="1107">
        <v>0</v>
      </c>
      <c r="AE21" s="1107">
        <v>0</v>
      </c>
      <c r="AF21" s="1107">
        <v>0</v>
      </c>
      <c r="AG21" s="1107">
        <v>0</v>
      </c>
      <c r="AH21" s="1108">
        <v>0</v>
      </c>
      <c r="AI21" s="1564">
        <f t="shared" si="0"/>
        <v>0</v>
      </c>
      <c r="AJ21" s="1561"/>
      <c r="AL21"/>
    </row>
    <row r="22" spans="2:38" s="414" customFormat="1" ht="15" customHeight="1" thickBot="1" x14ac:dyDescent="0.3">
      <c r="B22" s="586"/>
      <c r="C22" s="2263"/>
      <c r="D22" s="1109">
        <v>0</v>
      </c>
      <c r="E22" s="1110">
        <v>0</v>
      </c>
      <c r="F22" s="1110">
        <v>0</v>
      </c>
      <c r="G22" s="1110">
        <v>0</v>
      </c>
      <c r="H22" s="1110">
        <v>0</v>
      </c>
      <c r="I22" s="1110">
        <v>0</v>
      </c>
      <c r="J22" s="1110">
        <v>0</v>
      </c>
      <c r="K22" s="1110">
        <v>0</v>
      </c>
      <c r="L22" s="1110">
        <v>0</v>
      </c>
      <c r="M22" s="1110">
        <v>0</v>
      </c>
      <c r="N22" s="1110">
        <v>0</v>
      </c>
      <c r="O22" s="1110">
        <v>0</v>
      </c>
      <c r="P22" s="1110">
        <v>0</v>
      </c>
      <c r="Q22" s="1111">
        <v>0</v>
      </c>
      <c r="R22" s="2212"/>
      <c r="S22" s="2208"/>
      <c r="T22" s="2214"/>
      <c r="U22" s="2225">
        <v>0</v>
      </c>
      <c r="V22" s="1110">
        <v>0</v>
      </c>
      <c r="W22" s="1110">
        <v>0</v>
      </c>
      <c r="X22" s="1110">
        <v>0</v>
      </c>
      <c r="Y22" s="1110">
        <v>0</v>
      </c>
      <c r="Z22" s="1110">
        <v>0</v>
      </c>
      <c r="AA22" s="1110">
        <v>0</v>
      </c>
      <c r="AB22" s="1110">
        <v>0</v>
      </c>
      <c r="AC22" s="1110">
        <v>0</v>
      </c>
      <c r="AD22" s="1110">
        <v>0</v>
      </c>
      <c r="AE22" s="1110">
        <v>0</v>
      </c>
      <c r="AF22" s="1110">
        <v>0</v>
      </c>
      <c r="AG22" s="1110">
        <v>0</v>
      </c>
      <c r="AH22" s="1111">
        <v>0</v>
      </c>
      <c r="AI22" s="1565">
        <f t="shared" si="0"/>
        <v>0</v>
      </c>
      <c r="AJ22" s="1561"/>
      <c r="AL22"/>
    </row>
    <row r="23" spans="2:38" s="414" customFormat="1" ht="15" customHeight="1" thickBot="1" x14ac:dyDescent="0.3">
      <c r="B23" s="586"/>
      <c r="C23" s="138" t="s">
        <v>318</v>
      </c>
      <c r="D23" s="1098">
        <f>SUM(D19:D22)</f>
        <v>0</v>
      </c>
      <c r="E23" s="1099">
        <f t="shared" ref="E23:K23" si="1">SUM(E19:E22)</f>
        <v>0</v>
      </c>
      <c r="F23" s="1099">
        <f t="shared" si="1"/>
        <v>0</v>
      </c>
      <c r="G23" s="1099">
        <f t="shared" si="1"/>
        <v>0</v>
      </c>
      <c r="H23" s="1099">
        <f t="shared" si="1"/>
        <v>0</v>
      </c>
      <c r="I23" s="1099">
        <f t="shared" si="1"/>
        <v>0</v>
      </c>
      <c r="J23" s="1099">
        <f t="shared" si="1"/>
        <v>0</v>
      </c>
      <c r="K23" s="1099">
        <f t="shared" si="1"/>
        <v>0</v>
      </c>
      <c r="L23" s="1099">
        <f t="shared" ref="L23:Q23" si="2">SUM(L19:L22)</f>
        <v>0</v>
      </c>
      <c r="M23" s="1099">
        <f t="shared" si="2"/>
        <v>0</v>
      </c>
      <c r="N23" s="1099">
        <f t="shared" si="2"/>
        <v>0</v>
      </c>
      <c r="O23" s="1099">
        <f t="shared" si="2"/>
        <v>0</v>
      </c>
      <c r="P23" s="1099">
        <f t="shared" si="2"/>
        <v>0</v>
      </c>
      <c r="Q23" s="1100">
        <f t="shared" si="2"/>
        <v>0</v>
      </c>
      <c r="R23" s="2233"/>
      <c r="S23" s="2234"/>
      <c r="T23" s="2214"/>
      <c r="U23" s="1098">
        <f t="shared" ref="U23:AF23" si="3">SUM(U19:U22)</f>
        <v>0</v>
      </c>
      <c r="V23" s="1099">
        <f t="shared" si="3"/>
        <v>0</v>
      </c>
      <c r="W23" s="1099">
        <f t="shared" si="3"/>
        <v>0</v>
      </c>
      <c r="X23" s="1099">
        <f t="shared" si="3"/>
        <v>0</v>
      </c>
      <c r="Y23" s="1099">
        <f t="shared" si="3"/>
        <v>0</v>
      </c>
      <c r="Z23" s="1099">
        <f t="shared" si="3"/>
        <v>0</v>
      </c>
      <c r="AA23" s="1099">
        <f t="shared" si="3"/>
        <v>0</v>
      </c>
      <c r="AB23" s="1099">
        <f t="shared" si="3"/>
        <v>0</v>
      </c>
      <c r="AC23" s="1099">
        <f t="shared" si="3"/>
        <v>0</v>
      </c>
      <c r="AD23" s="1099">
        <f t="shared" si="3"/>
        <v>0</v>
      </c>
      <c r="AE23" s="1099">
        <f t="shared" si="3"/>
        <v>0</v>
      </c>
      <c r="AF23" s="2221">
        <f t="shared" si="3"/>
        <v>0</v>
      </c>
      <c r="AG23" s="2221">
        <f>SUM(AG19:AG22)</f>
        <v>0</v>
      </c>
      <c r="AH23" s="1100">
        <f>SUM(AH19:AH22)</f>
        <v>0</v>
      </c>
      <c r="AI23" s="1101">
        <f>SUM(AI19:AI22)</f>
        <v>0</v>
      </c>
      <c r="AJ23" s="1561"/>
      <c r="AK23" s="2158"/>
      <c r="AL23" s="2159"/>
    </row>
    <row r="24" spans="2:38" s="414" customFormat="1" ht="3.75" customHeight="1" x14ac:dyDescent="0.25">
      <c r="B24" s="586"/>
      <c r="C24" s="1844"/>
      <c r="D24" s="595"/>
      <c r="E24" s="1063"/>
      <c r="F24" s="630"/>
      <c r="G24" s="1064"/>
      <c r="H24" s="595"/>
      <c r="I24" s="595"/>
      <c r="J24" s="595"/>
      <c r="K24" s="595"/>
      <c r="L24" s="595"/>
      <c r="M24" s="1315"/>
      <c r="N24" s="1315"/>
      <c r="O24" s="1315"/>
      <c r="P24" s="1315"/>
      <c r="Q24" s="1315"/>
      <c r="R24" s="1561"/>
      <c r="S24" s="1315"/>
      <c r="T24" s="2214"/>
      <c r="U24" s="1315"/>
      <c r="V24" s="1315"/>
      <c r="W24" s="1315"/>
      <c r="X24" s="1315"/>
      <c r="Y24" s="1315"/>
      <c r="Z24" s="1315"/>
      <c r="AA24" s="1315"/>
      <c r="AB24" s="1315"/>
      <c r="AC24" s="1315"/>
      <c r="AD24" s="1315"/>
      <c r="AE24" s="1315"/>
      <c r="AF24" s="1315"/>
      <c r="AG24" s="1315"/>
      <c r="AH24" s="1315"/>
      <c r="AI24" s="1315"/>
      <c r="AJ24" s="1561"/>
      <c r="AK24" s="2158"/>
      <c r="AL24" s="2159"/>
    </row>
    <row r="25" spans="2:38" s="414" customFormat="1" ht="15" customHeight="1" thickBot="1" x14ac:dyDescent="0.3">
      <c r="B25" s="586"/>
      <c r="C25" s="2145" t="s">
        <v>200</v>
      </c>
      <c r="D25" s="2146"/>
      <c r="E25" s="2146"/>
      <c r="F25" s="2146"/>
      <c r="G25" s="2146"/>
      <c r="H25" s="2146"/>
      <c r="I25" s="2146"/>
      <c r="J25" s="2146"/>
      <c r="K25" s="2146"/>
      <c r="L25" s="2146"/>
      <c r="M25" s="2147"/>
      <c r="N25" s="2147"/>
      <c r="O25" s="2147"/>
      <c r="P25" s="2147"/>
      <c r="Q25" s="2147"/>
      <c r="R25" s="1561"/>
      <c r="S25" s="1315"/>
      <c r="T25" s="2214"/>
      <c r="U25" s="2147"/>
      <c r="V25" s="2147"/>
      <c r="W25" s="2147"/>
      <c r="X25" s="2147"/>
      <c r="Y25" s="2147"/>
      <c r="Z25" s="2147"/>
      <c r="AA25" s="2147"/>
      <c r="AB25" s="2147"/>
      <c r="AC25" s="2147"/>
      <c r="AD25" s="2147"/>
      <c r="AE25" s="2147"/>
      <c r="AF25" s="2147"/>
      <c r="AG25" s="2147"/>
      <c r="AH25" s="2147"/>
      <c r="AI25" s="2147"/>
      <c r="AJ25" s="1561"/>
      <c r="AK25" s="2158"/>
      <c r="AL25" s="2159"/>
    </row>
    <row r="26" spans="2:38" s="414" customFormat="1" ht="15" customHeight="1" thickBot="1" x14ac:dyDescent="0.3">
      <c r="B26" s="586"/>
      <c r="C26" s="2144" t="s">
        <v>579</v>
      </c>
      <c r="D26" s="1095"/>
      <c r="E26" s="1095"/>
      <c r="F26" s="1095"/>
      <c r="G26" s="1095"/>
      <c r="H26" s="1095"/>
      <c r="I26" s="1095"/>
      <c r="J26" s="1095"/>
      <c r="K26" s="1095"/>
      <c r="L26" s="1095"/>
      <c r="M26" s="1315"/>
      <c r="N26" s="1315"/>
      <c r="O26" s="1315"/>
      <c r="P26" s="1315"/>
      <c r="Q26" s="1315"/>
      <c r="R26" s="1561"/>
      <c r="S26" s="1315"/>
      <c r="T26" s="2214"/>
      <c r="U26" s="1315"/>
      <c r="V26" s="1315"/>
      <c r="W26" s="1315"/>
      <c r="X26" s="1315"/>
      <c r="Y26" s="1315"/>
      <c r="Z26" s="1315"/>
      <c r="AA26" s="1315"/>
      <c r="AB26" s="1315"/>
      <c r="AC26" s="1315"/>
      <c r="AD26" s="1315"/>
      <c r="AE26" s="1315"/>
      <c r="AF26" s="1315"/>
      <c r="AG26" s="1315"/>
      <c r="AH26" s="1315"/>
      <c r="AI26" s="1315"/>
      <c r="AJ26" s="1561"/>
      <c r="AL26"/>
    </row>
    <row r="27" spans="2:38" s="414" customFormat="1" ht="15" customHeight="1" x14ac:dyDescent="0.25">
      <c r="B27" s="586"/>
      <c r="C27" s="2264"/>
      <c r="D27" s="1103">
        <v>0</v>
      </c>
      <c r="E27" s="1104">
        <v>0</v>
      </c>
      <c r="F27" s="1104">
        <v>0</v>
      </c>
      <c r="G27" s="1104">
        <v>0</v>
      </c>
      <c r="H27" s="1104">
        <v>0</v>
      </c>
      <c r="I27" s="1104">
        <v>0</v>
      </c>
      <c r="J27" s="1104">
        <v>0</v>
      </c>
      <c r="K27" s="1104">
        <v>0</v>
      </c>
      <c r="L27" s="1104">
        <v>0</v>
      </c>
      <c r="M27" s="1104">
        <v>0</v>
      </c>
      <c r="N27" s="1104">
        <v>0</v>
      </c>
      <c r="O27" s="1104">
        <v>0</v>
      </c>
      <c r="P27" s="1104">
        <v>0</v>
      </c>
      <c r="Q27" s="1105">
        <v>0</v>
      </c>
      <c r="R27" s="2212"/>
      <c r="S27" s="2208"/>
      <c r="T27" s="2214"/>
      <c r="U27" s="2223">
        <v>0</v>
      </c>
      <c r="V27" s="1104">
        <v>0</v>
      </c>
      <c r="W27" s="1104">
        <v>0</v>
      </c>
      <c r="X27" s="1104">
        <v>0</v>
      </c>
      <c r="Y27" s="1104">
        <v>0</v>
      </c>
      <c r="Z27" s="1104">
        <v>0</v>
      </c>
      <c r="AA27" s="1104">
        <v>0</v>
      </c>
      <c r="AB27" s="1104">
        <v>0</v>
      </c>
      <c r="AC27" s="1104">
        <v>0</v>
      </c>
      <c r="AD27" s="1104">
        <v>0</v>
      </c>
      <c r="AE27" s="1104">
        <v>0</v>
      </c>
      <c r="AF27" s="1104">
        <v>0</v>
      </c>
      <c r="AG27" s="1104">
        <v>0</v>
      </c>
      <c r="AH27" s="1105">
        <v>0</v>
      </c>
      <c r="AI27" s="1566">
        <f t="shared" ref="AI27:AI31" si="4">SUM(D27:Q27)+SUM(U27:AH27)</f>
        <v>0</v>
      </c>
      <c r="AJ27" s="1561"/>
      <c r="AL27"/>
    </row>
    <row r="28" spans="2:38" x14ac:dyDescent="0.25">
      <c r="B28" s="1507"/>
      <c r="C28" s="2265"/>
      <c r="D28" s="1106">
        <v>0</v>
      </c>
      <c r="E28" s="1107">
        <v>0</v>
      </c>
      <c r="F28" s="1107">
        <v>0</v>
      </c>
      <c r="G28" s="1107">
        <v>0</v>
      </c>
      <c r="H28" s="1107">
        <v>0</v>
      </c>
      <c r="I28" s="1107">
        <v>0</v>
      </c>
      <c r="J28" s="1107">
        <v>0</v>
      </c>
      <c r="K28" s="1107">
        <v>0</v>
      </c>
      <c r="L28" s="1107">
        <v>0</v>
      </c>
      <c r="M28" s="1107">
        <v>0</v>
      </c>
      <c r="N28" s="1107">
        <v>0</v>
      </c>
      <c r="O28" s="1107">
        <v>0</v>
      </c>
      <c r="P28" s="1107">
        <v>0</v>
      </c>
      <c r="Q28" s="1108">
        <v>0</v>
      </c>
      <c r="R28" s="2212"/>
      <c r="S28" s="2208"/>
      <c r="T28" s="2214"/>
      <c r="U28" s="2224">
        <v>0</v>
      </c>
      <c r="V28" s="1107">
        <v>0</v>
      </c>
      <c r="W28" s="1107">
        <v>0</v>
      </c>
      <c r="X28" s="1107">
        <v>0</v>
      </c>
      <c r="Y28" s="1107">
        <v>0</v>
      </c>
      <c r="Z28" s="1107">
        <v>0</v>
      </c>
      <c r="AA28" s="1107">
        <v>0</v>
      </c>
      <c r="AB28" s="1107">
        <v>0</v>
      </c>
      <c r="AC28" s="1107">
        <v>0</v>
      </c>
      <c r="AD28" s="1107">
        <v>0</v>
      </c>
      <c r="AE28" s="1107">
        <v>0</v>
      </c>
      <c r="AF28" s="1107">
        <v>0</v>
      </c>
      <c r="AG28" s="1107">
        <v>0</v>
      </c>
      <c r="AH28" s="1108">
        <v>0</v>
      </c>
      <c r="AI28" s="1564">
        <f t="shared" si="4"/>
        <v>0</v>
      </c>
      <c r="AJ28" s="1560"/>
      <c r="AL28"/>
    </row>
    <row r="29" spans="2:38" x14ac:dyDescent="0.25">
      <c r="B29" s="1507"/>
      <c r="C29" s="2265"/>
      <c r="D29" s="1106">
        <v>0</v>
      </c>
      <c r="E29" s="1107">
        <v>0</v>
      </c>
      <c r="F29" s="1107">
        <v>0</v>
      </c>
      <c r="G29" s="1107">
        <v>0</v>
      </c>
      <c r="H29" s="1107">
        <v>0</v>
      </c>
      <c r="I29" s="1107">
        <v>0</v>
      </c>
      <c r="J29" s="1107">
        <v>0</v>
      </c>
      <c r="K29" s="1107">
        <v>0</v>
      </c>
      <c r="L29" s="1107">
        <v>0</v>
      </c>
      <c r="M29" s="1107">
        <v>0</v>
      </c>
      <c r="N29" s="1107">
        <v>0</v>
      </c>
      <c r="O29" s="1107">
        <v>0</v>
      </c>
      <c r="P29" s="1107">
        <v>0</v>
      </c>
      <c r="Q29" s="1108">
        <v>0</v>
      </c>
      <c r="R29" s="2212"/>
      <c r="S29" s="2208"/>
      <c r="T29" s="2214"/>
      <c r="U29" s="2224">
        <v>0</v>
      </c>
      <c r="V29" s="1107">
        <v>0</v>
      </c>
      <c r="W29" s="1107">
        <v>0</v>
      </c>
      <c r="X29" s="1107">
        <v>0</v>
      </c>
      <c r="Y29" s="1107">
        <v>0</v>
      </c>
      <c r="Z29" s="1107">
        <v>0</v>
      </c>
      <c r="AA29" s="1107">
        <v>0</v>
      </c>
      <c r="AB29" s="1107">
        <v>0</v>
      </c>
      <c r="AC29" s="1107">
        <v>0</v>
      </c>
      <c r="AD29" s="1107">
        <v>0</v>
      </c>
      <c r="AE29" s="1107">
        <v>0</v>
      </c>
      <c r="AF29" s="1107">
        <v>0</v>
      </c>
      <c r="AG29" s="1107">
        <v>0</v>
      </c>
      <c r="AH29" s="1108">
        <v>0</v>
      </c>
      <c r="AI29" s="1564">
        <f t="shared" si="4"/>
        <v>0</v>
      </c>
      <c r="AJ29" s="1560"/>
      <c r="AL29"/>
    </row>
    <row r="30" spans="2:38" x14ac:dyDescent="0.25">
      <c r="B30" s="1507"/>
      <c r="C30" s="2265"/>
      <c r="D30" s="1106">
        <v>0</v>
      </c>
      <c r="E30" s="1107">
        <v>0</v>
      </c>
      <c r="F30" s="1107">
        <v>0</v>
      </c>
      <c r="G30" s="1107">
        <v>0</v>
      </c>
      <c r="H30" s="1107">
        <v>0</v>
      </c>
      <c r="I30" s="1107">
        <v>0</v>
      </c>
      <c r="J30" s="1107">
        <v>0</v>
      </c>
      <c r="K30" s="1107">
        <v>0</v>
      </c>
      <c r="L30" s="1107">
        <v>0</v>
      </c>
      <c r="M30" s="1107">
        <v>0</v>
      </c>
      <c r="N30" s="1107">
        <v>0</v>
      </c>
      <c r="O30" s="1107">
        <v>0</v>
      </c>
      <c r="P30" s="1107">
        <v>0</v>
      </c>
      <c r="Q30" s="1108">
        <v>0</v>
      </c>
      <c r="R30" s="2212"/>
      <c r="S30" s="2208"/>
      <c r="T30" s="2214"/>
      <c r="U30" s="2224">
        <v>0</v>
      </c>
      <c r="V30" s="1107">
        <v>0</v>
      </c>
      <c r="W30" s="1107">
        <v>0</v>
      </c>
      <c r="X30" s="1107">
        <v>0</v>
      </c>
      <c r="Y30" s="1107">
        <v>0</v>
      </c>
      <c r="Z30" s="1107">
        <v>0</v>
      </c>
      <c r="AA30" s="1107">
        <v>0</v>
      </c>
      <c r="AB30" s="1107">
        <v>0</v>
      </c>
      <c r="AC30" s="1107">
        <v>0</v>
      </c>
      <c r="AD30" s="1107">
        <v>0</v>
      </c>
      <c r="AE30" s="1107">
        <v>0</v>
      </c>
      <c r="AF30" s="1107">
        <v>0</v>
      </c>
      <c r="AG30" s="1107">
        <v>0</v>
      </c>
      <c r="AH30" s="1108">
        <v>0</v>
      </c>
      <c r="AI30" s="1564">
        <f t="shared" si="4"/>
        <v>0</v>
      </c>
      <c r="AJ30" s="1560"/>
      <c r="AL30"/>
    </row>
    <row r="31" spans="2:38" x14ac:dyDescent="0.25">
      <c r="B31" s="1507"/>
      <c r="C31" s="2265"/>
      <c r="D31" s="1106">
        <v>0</v>
      </c>
      <c r="E31" s="1107">
        <v>0</v>
      </c>
      <c r="F31" s="1107">
        <v>0</v>
      </c>
      <c r="G31" s="1107">
        <v>0</v>
      </c>
      <c r="H31" s="1107">
        <v>0</v>
      </c>
      <c r="I31" s="1107">
        <v>0</v>
      </c>
      <c r="J31" s="1107">
        <v>0</v>
      </c>
      <c r="K31" s="1107">
        <v>0</v>
      </c>
      <c r="L31" s="1107">
        <v>0</v>
      </c>
      <c r="M31" s="1107">
        <v>0</v>
      </c>
      <c r="N31" s="1107">
        <v>0</v>
      </c>
      <c r="O31" s="1107">
        <v>0</v>
      </c>
      <c r="P31" s="1107">
        <v>0</v>
      </c>
      <c r="Q31" s="1108">
        <v>0</v>
      </c>
      <c r="R31" s="2212"/>
      <c r="S31" s="2208"/>
      <c r="T31" s="2214"/>
      <c r="U31" s="2224">
        <v>0</v>
      </c>
      <c r="V31" s="1107">
        <v>0</v>
      </c>
      <c r="W31" s="1107">
        <v>0</v>
      </c>
      <c r="X31" s="1107">
        <v>0</v>
      </c>
      <c r="Y31" s="1107">
        <v>0</v>
      </c>
      <c r="Z31" s="1107">
        <v>0</v>
      </c>
      <c r="AA31" s="1107">
        <v>0</v>
      </c>
      <c r="AB31" s="1107">
        <v>0</v>
      </c>
      <c r="AC31" s="1107">
        <v>0</v>
      </c>
      <c r="AD31" s="1107">
        <v>0</v>
      </c>
      <c r="AE31" s="1107">
        <v>0</v>
      </c>
      <c r="AF31" s="1107">
        <v>0</v>
      </c>
      <c r="AG31" s="1107">
        <v>0</v>
      </c>
      <c r="AH31" s="1108">
        <v>0</v>
      </c>
      <c r="AI31" s="1564">
        <f t="shared" si="4"/>
        <v>0</v>
      </c>
      <c r="AJ31" s="1560"/>
      <c r="AL31"/>
    </row>
    <row r="32" spans="2:38" ht="15.75" thickBot="1" x14ac:dyDescent="0.3">
      <c r="B32" s="1507"/>
      <c r="C32" s="2265"/>
      <c r="D32" s="1106">
        <v>0</v>
      </c>
      <c r="E32" s="1107">
        <v>0</v>
      </c>
      <c r="F32" s="1107">
        <v>0</v>
      </c>
      <c r="G32" s="1107">
        <v>0</v>
      </c>
      <c r="H32" s="1107">
        <v>0</v>
      </c>
      <c r="I32" s="1107">
        <v>0</v>
      </c>
      <c r="J32" s="1107">
        <v>0</v>
      </c>
      <c r="K32" s="1107">
        <v>0</v>
      </c>
      <c r="L32" s="1107">
        <v>0</v>
      </c>
      <c r="M32" s="1107">
        <v>0</v>
      </c>
      <c r="N32" s="1107">
        <v>0</v>
      </c>
      <c r="O32" s="1107">
        <v>0</v>
      </c>
      <c r="P32" s="1107">
        <v>0</v>
      </c>
      <c r="Q32" s="1111">
        <v>0</v>
      </c>
      <c r="R32" s="2212"/>
      <c r="S32" s="2208"/>
      <c r="T32" s="2214"/>
      <c r="U32" s="2225">
        <v>0</v>
      </c>
      <c r="V32" s="1107">
        <v>0</v>
      </c>
      <c r="W32" s="1107">
        <v>0</v>
      </c>
      <c r="X32" s="1107">
        <v>0</v>
      </c>
      <c r="Y32" s="1107">
        <v>0</v>
      </c>
      <c r="Z32" s="1107">
        <v>0</v>
      </c>
      <c r="AA32" s="1107">
        <v>0</v>
      </c>
      <c r="AB32" s="1107">
        <v>0</v>
      </c>
      <c r="AC32" s="1107">
        <v>0</v>
      </c>
      <c r="AD32" s="1107">
        <v>0</v>
      </c>
      <c r="AE32" s="1107">
        <v>0</v>
      </c>
      <c r="AF32" s="1107">
        <v>0</v>
      </c>
      <c r="AG32" s="1107">
        <v>0</v>
      </c>
      <c r="AH32" s="1108">
        <v>0</v>
      </c>
      <c r="AI32" s="2136">
        <f>SUM(D32:Q32)+SUM(U32:AH32)</f>
        <v>0</v>
      </c>
      <c r="AJ32" s="1560"/>
      <c r="AL32"/>
    </row>
    <row r="33" spans="2:38" ht="15.75" thickBot="1" x14ac:dyDescent="0.3">
      <c r="B33" s="1507"/>
      <c r="C33" s="2143" t="s">
        <v>580</v>
      </c>
      <c r="D33" s="2141"/>
      <c r="E33" s="2141"/>
      <c r="F33" s="2141"/>
      <c r="G33" s="2141"/>
      <c r="H33" s="2141"/>
      <c r="I33" s="2141"/>
      <c r="J33" s="2141"/>
      <c r="K33" s="2141"/>
      <c r="L33" s="2141"/>
      <c r="M33" s="2141"/>
      <c r="N33" s="2141"/>
      <c r="O33" s="2141"/>
      <c r="P33" s="2141"/>
      <c r="Q33" s="2141"/>
      <c r="R33" s="2212"/>
      <c r="S33" s="2208"/>
      <c r="T33" s="2214"/>
      <c r="U33" s="2141"/>
      <c r="V33" s="2141"/>
      <c r="W33" s="2141"/>
      <c r="X33" s="2141"/>
      <c r="Y33" s="2141"/>
      <c r="Z33" s="2141"/>
      <c r="AA33" s="2141"/>
      <c r="AB33" s="2141"/>
      <c r="AC33" s="2141"/>
      <c r="AD33" s="2141"/>
      <c r="AE33" s="2141"/>
      <c r="AF33" s="2141"/>
      <c r="AG33" s="2141"/>
      <c r="AH33" s="2141"/>
      <c r="AI33" s="2142"/>
      <c r="AJ33" s="1560"/>
      <c r="AL33"/>
    </row>
    <row r="34" spans="2:38" x14ac:dyDescent="0.25">
      <c r="B34" s="1507"/>
      <c r="C34" s="2266"/>
      <c r="D34" s="2137">
        <v>0</v>
      </c>
      <c r="E34" s="2138">
        <v>0</v>
      </c>
      <c r="F34" s="2138">
        <v>0</v>
      </c>
      <c r="G34" s="2138">
        <v>0</v>
      </c>
      <c r="H34" s="2138">
        <v>0</v>
      </c>
      <c r="I34" s="2138">
        <v>0</v>
      </c>
      <c r="J34" s="2138">
        <v>0</v>
      </c>
      <c r="K34" s="2138">
        <v>0</v>
      </c>
      <c r="L34" s="2138">
        <v>0</v>
      </c>
      <c r="M34" s="2138">
        <v>0</v>
      </c>
      <c r="N34" s="2138">
        <v>0</v>
      </c>
      <c r="O34" s="2138">
        <v>0</v>
      </c>
      <c r="P34" s="2138">
        <v>0</v>
      </c>
      <c r="Q34" s="1105">
        <v>0</v>
      </c>
      <c r="R34" s="2212"/>
      <c r="S34" s="2208"/>
      <c r="T34" s="2214"/>
      <c r="U34" s="2223">
        <v>0</v>
      </c>
      <c r="V34" s="2138">
        <v>0</v>
      </c>
      <c r="W34" s="2138">
        <v>0</v>
      </c>
      <c r="X34" s="2138">
        <v>0</v>
      </c>
      <c r="Y34" s="2138">
        <v>0</v>
      </c>
      <c r="Z34" s="2138">
        <v>0</v>
      </c>
      <c r="AA34" s="2138">
        <v>0</v>
      </c>
      <c r="AB34" s="2138">
        <v>0</v>
      </c>
      <c r="AC34" s="2138">
        <v>0</v>
      </c>
      <c r="AD34" s="2138">
        <v>0</v>
      </c>
      <c r="AE34" s="2138">
        <v>0</v>
      </c>
      <c r="AF34" s="2138">
        <v>0</v>
      </c>
      <c r="AG34" s="2138">
        <v>0</v>
      </c>
      <c r="AH34" s="2139">
        <v>0</v>
      </c>
      <c r="AI34" s="2140">
        <f>SUM(D34:Q34)+SUM(U34:AH34)</f>
        <v>0</v>
      </c>
      <c r="AJ34" s="1560"/>
      <c r="AL34"/>
    </row>
    <row r="35" spans="2:38" ht="15.75" thickBot="1" x14ac:dyDescent="0.3">
      <c r="B35" s="1507"/>
      <c r="C35" s="2265"/>
      <c r="D35" s="1106">
        <v>0</v>
      </c>
      <c r="E35" s="1107">
        <v>0</v>
      </c>
      <c r="F35" s="1107">
        <v>0</v>
      </c>
      <c r="G35" s="1107">
        <v>0</v>
      </c>
      <c r="H35" s="1107">
        <v>0</v>
      </c>
      <c r="I35" s="1107">
        <v>0</v>
      </c>
      <c r="J35" s="1107">
        <v>0</v>
      </c>
      <c r="K35" s="1107">
        <v>0</v>
      </c>
      <c r="L35" s="1107">
        <v>0</v>
      </c>
      <c r="M35" s="1107">
        <v>0</v>
      </c>
      <c r="N35" s="1107">
        <v>0</v>
      </c>
      <c r="O35" s="1107">
        <v>0</v>
      </c>
      <c r="P35" s="1107">
        <v>0</v>
      </c>
      <c r="Q35" s="1108">
        <v>0</v>
      </c>
      <c r="R35" s="2212"/>
      <c r="S35" s="2208"/>
      <c r="T35" s="2214"/>
      <c r="U35" s="2224">
        <v>0</v>
      </c>
      <c r="V35" s="1107">
        <v>0</v>
      </c>
      <c r="W35" s="1107">
        <v>0</v>
      </c>
      <c r="X35" s="1107">
        <v>0</v>
      </c>
      <c r="Y35" s="1107">
        <v>0</v>
      </c>
      <c r="Z35" s="1107">
        <v>0</v>
      </c>
      <c r="AA35" s="1107">
        <v>0</v>
      </c>
      <c r="AB35" s="1107">
        <v>0</v>
      </c>
      <c r="AC35" s="1107">
        <v>0</v>
      </c>
      <c r="AD35" s="1107">
        <v>0</v>
      </c>
      <c r="AE35" s="1107">
        <v>0</v>
      </c>
      <c r="AF35" s="1107">
        <v>0</v>
      </c>
      <c r="AG35" s="1107">
        <v>0</v>
      </c>
      <c r="AH35" s="1108">
        <v>0</v>
      </c>
      <c r="AI35" s="1564">
        <f>SUM(D35:Q35)+SUM(U35:AH35)</f>
        <v>0</v>
      </c>
      <c r="AJ35" s="1560"/>
      <c r="AL35"/>
    </row>
    <row r="36" spans="2:38" ht="15.75" customHeight="1" thickBot="1" x14ac:dyDescent="0.3">
      <c r="B36" s="588"/>
      <c r="C36" s="131" t="s">
        <v>318</v>
      </c>
      <c r="D36" s="1098">
        <f t="shared" ref="D36" si="5">SUM(D27:D32)+SUM(D34:D35)</f>
        <v>0</v>
      </c>
      <c r="E36" s="1099">
        <f>SUM(E27:E32)+SUM(E34:E35)</f>
        <v>0</v>
      </c>
      <c r="F36" s="1099">
        <f t="shared" ref="F36" si="6">SUM(F27:F32)+SUM(F34:F35)</f>
        <v>0</v>
      </c>
      <c r="G36" s="1099">
        <f t="shared" ref="G36" si="7">SUM(G27:G32)+SUM(G34:G35)</f>
        <v>0</v>
      </c>
      <c r="H36" s="1099">
        <f t="shared" ref="H36" si="8">SUM(H27:H32)+SUM(H34:H35)</f>
        <v>0</v>
      </c>
      <c r="I36" s="1099">
        <f t="shared" ref="I36" si="9">SUM(I27:I32)+SUM(I34:I35)</f>
        <v>0</v>
      </c>
      <c r="J36" s="1099">
        <f t="shared" ref="J36" si="10">SUM(J27:J32)+SUM(J34:J35)</f>
        <v>0</v>
      </c>
      <c r="K36" s="1099">
        <f t="shared" ref="K36" si="11">SUM(K27:K32)+SUM(K34:K35)</f>
        <v>0</v>
      </c>
      <c r="L36" s="1099">
        <f t="shared" ref="L36" si="12">SUM(L27:L32)+SUM(L34:L35)</f>
        <v>0</v>
      </c>
      <c r="M36" s="1099">
        <f t="shared" ref="M36" si="13">SUM(M27:M32)+SUM(M34:M35)</f>
        <v>0</v>
      </c>
      <c r="N36" s="1099">
        <f t="shared" ref="N36" si="14">SUM(N27:N32)+SUM(N34:N35)</f>
        <v>0</v>
      </c>
      <c r="O36" s="1099">
        <f t="shared" ref="O36" si="15">SUM(O27:O32)+SUM(O34:O35)</f>
        <v>0</v>
      </c>
      <c r="P36" s="1099">
        <f t="shared" ref="P36" si="16">SUM(P27:P32)+SUM(P34:P35)</f>
        <v>0</v>
      </c>
      <c r="Q36" s="1100">
        <f t="shared" ref="Q36" si="17">SUM(Q27:Q32)+SUM(Q34:Q35)</f>
        <v>0</v>
      </c>
      <c r="R36" s="2233"/>
      <c r="S36" s="2234"/>
      <c r="T36" s="2214"/>
      <c r="U36" s="1098">
        <f t="shared" ref="U36:AH36" si="18">SUM(U27:U32)+SUM(U34:U35)</f>
        <v>0</v>
      </c>
      <c r="V36" s="1099">
        <f t="shared" si="18"/>
        <v>0</v>
      </c>
      <c r="W36" s="1099">
        <f>SUM(W27:W32)+SUM(W34:W35)</f>
        <v>0</v>
      </c>
      <c r="X36" s="1099">
        <f t="shared" si="18"/>
        <v>0</v>
      </c>
      <c r="Y36" s="1099">
        <f t="shared" si="18"/>
        <v>0</v>
      </c>
      <c r="Z36" s="1099">
        <f t="shared" si="18"/>
        <v>0</v>
      </c>
      <c r="AA36" s="1099">
        <f t="shared" si="18"/>
        <v>0</v>
      </c>
      <c r="AB36" s="1099">
        <f t="shared" si="18"/>
        <v>0</v>
      </c>
      <c r="AC36" s="1099">
        <f t="shared" si="18"/>
        <v>0</v>
      </c>
      <c r="AD36" s="1099">
        <f t="shared" si="18"/>
        <v>0</v>
      </c>
      <c r="AE36" s="1099">
        <f t="shared" si="18"/>
        <v>0</v>
      </c>
      <c r="AF36" s="2221">
        <f t="shared" si="18"/>
        <v>0</v>
      </c>
      <c r="AG36" s="2221">
        <f t="shared" si="18"/>
        <v>0</v>
      </c>
      <c r="AH36" s="1100">
        <f t="shared" si="18"/>
        <v>0</v>
      </c>
      <c r="AI36" s="1101">
        <f>SUM(AI27:AI32)+SUM(AI34:AI35)</f>
        <v>0</v>
      </c>
      <c r="AJ36" s="1560"/>
      <c r="AK36" s="2506" t="str">
        <f>IF(AND('7A'!F48&lt;&gt;0,AI36&lt;&gt;'7A'!F48),"WARNING: Total Permanent Sources do not match Form 7A","")</f>
        <v/>
      </c>
      <c r="AL36" s="2507"/>
    </row>
    <row r="37" spans="2:38" ht="3.75" customHeight="1" thickBot="1" x14ac:dyDescent="0.3">
      <c r="B37" s="588"/>
      <c r="C37" s="132"/>
      <c r="D37" s="135"/>
      <c r="E37" s="135"/>
      <c r="F37" s="135"/>
      <c r="G37" s="135"/>
      <c r="H37" s="135"/>
      <c r="I37" s="135"/>
      <c r="J37" s="135"/>
      <c r="K37" s="135"/>
      <c r="L37" s="135"/>
      <c r="M37" s="135"/>
      <c r="N37" s="135"/>
      <c r="O37" s="135"/>
      <c r="P37" s="135"/>
      <c r="Q37" s="135"/>
      <c r="R37" s="2213"/>
      <c r="S37" s="135"/>
      <c r="T37" s="2214"/>
      <c r="U37" s="135"/>
      <c r="V37" s="135"/>
      <c r="W37" s="135"/>
      <c r="X37" s="135"/>
      <c r="Y37" s="135"/>
      <c r="Z37" s="135"/>
      <c r="AA37" s="135"/>
      <c r="AB37" s="135"/>
      <c r="AC37" s="135"/>
      <c r="AD37" s="135"/>
      <c r="AE37" s="135"/>
      <c r="AF37" s="135"/>
      <c r="AG37" s="135"/>
      <c r="AH37" s="135"/>
      <c r="AI37" s="136"/>
      <c r="AJ37" s="1560"/>
      <c r="AK37" s="2506"/>
      <c r="AL37" s="2507"/>
    </row>
    <row r="38" spans="2:38" ht="15.75" thickBot="1" x14ac:dyDescent="0.3">
      <c r="B38" s="586"/>
      <c r="C38" s="2119" t="s">
        <v>319</v>
      </c>
      <c r="D38" s="1098">
        <f t="shared" ref="D38:AH38" si="19">D23+D36</f>
        <v>0</v>
      </c>
      <c r="E38" s="1099">
        <f t="shared" si="19"/>
        <v>0</v>
      </c>
      <c r="F38" s="1099">
        <f t="shared" si="19"/>
        <v>0</v>
      </c>
      <c r="G38" s="1099">
        <f t="shared" si="19"/>
        <v>0</v>
      </c>
      <c r="H38" s="1099">
        <f t="shared" si="19"/>
        <v>0</v>
      </c>
      <c r="I38" s="1099">
        <f t="shared" si="19"/>
        <v>0</v>
      </c>
      <c r="J38" s="1099">
        <f t="shared" si="19"/>
        <v>0</v>
      </c>
      <c r="K38" s="1099">
        <f t="shared" si="19"/>
        <v>0</v>
      </c>
      <c r="L38" s="1099">
        <f t="shared" si="19"/>
        <v>0</v>
      </c>
      <c r="M38" s="1099">
        <f t="shared" si="19"/>
        <v>0</v>
      </c>
      <c r="N38" s="1099">
        <f t="shared" si="19"/>
        <v>0</v>
      </c>
      <c r="O38" s="1099">
        <f t="shared" si="19"/>
        <v>0</v>
      </c>
      <c r="P38" s="1099">
        <f t="shared" si="19"/>
        <v>0</v>
      </c>
      <c r="Q38" s="1100">
        <f t="shared" si="19"/>
        <v>0</v>
      </c>
      <c r="R38" s="2233"/>
      <c r="S38" s="2234"/>
      <c r="T38" s="2214"/>
      <c r="U38" s="1098">
        <f t="shared" si="19"/>
        <v>0</v>
      </c>
      <c r="V38" s="1099">
        <f t="shared" si="19"/>
        <v>0</v>
      </c>
      <c r="W38" s="1099">
        <f t="shared" si="19"/>
        <v>0</v>
      </c>
      <c r="X38" s="1099">
        <f t="shared" si="19"/>
        <v>0</v>
      </c>
      <c r="Y38" s="1099">
        <f t="shared" si="19"/>
        <v>0</v>
      </c>
      <c r="Z38" s="1099">
        <f t="shared" si="19"/>
        <v>0</v>
      </c>
      <c r="AA38" s="1099">
        <f t="shared" si="19"/>
        <v>0</v>
      </c>
      <c r="AB38" s="1099">
        <f t="shared" si="19"/>
        <v>0</v>
      </c>
      <c r="AC38" s="1099">
        <f t="shared" si="19"/>
        <v>0</v>
      </c>
      <c r="AD38" s="1099">
        <f t="shared" si="19"/>
        <v>0</v>
      </c>
      <c r="AE38" s="1099">
        <f t="shared" si="19"/>
        <v>0</v>
      </c>
      <c r="AF38" s="2221">
        <f t="shared" si="19"/>
        <v>0</v>
      </c>
      <c r="AG38" s="2221">
        <f t="shared" si="19"/>
        <v>0</v>
      </c>
      <c r="AH38" s="1100">
        <f t="shared" si="19"/>
        <v>0</v>
      </c>
      <c r="AI38" s="1102">
        <f>AI23+AI36</f>
        <v>0</v>
      </c>
      <c r="AJ38" s="1560"/>
      <c r="AK38" s="2506"/>
      <c r="AL38" s="2507"/>
    </row>
    <row r="39" spans="2:38" x14ac:dyDescent="0.25">
      <c r="B39" s="586"/>
      <c r="C39" s="130"/>
      <c r="D39" s="130"/>
      <c r="E39" s="130"/>
      <c r="F39" s="130"/>
      <c r="G39" s="130"/>
      <c r="H39" s="130"/>
      <c r="I39" s="587"/>
      <c r="J39" s="130"/>
      <c r="K39" s="1094"/>
      <c r="L39" s="1095"/>
      <c r="M39" s="1095"/>
      <c r="N39" s="2205"/>
      <c r="O39" s="2205"/>
      <c r="P39" s="2205"/>
      <c r="Q39" s="2205"/>
      <c r="R39" s="1561"/>
      <c r="S39" s="1315"/>
      <c r="T39" s="2214"/>
      <c r="U39" s="2205"/>
      <c r="V39" s="2205"/>
      <c r="W39" s="2205"/>
      <c r="X39" s="2205"/>
      <c r="Y39" s="2205"/>
      <c r="Z39" s="2205"/>
      <c r="AA39" s="1095"/>
      <c r="AB39" s="1095"/>
      <c r="AC39" s="1095"/>
      <c r="AD39" s="1095"/>
      <c r="AE39" s="1095"/>
      <c r="AF39" s="2205"/>
      <c r="AG39" s="2205"/>
      <c r="AH39" s="1095"/>
      <c r="AI39" s="1095"/>
      <c r="AJ39" s="1560"/>
    </row>
    <row r="40" spans="2:38" ht="15.75" thickBot="1" x14ac:dyDescent="0.3">
      <c r="B40" s="586"/>
      <c r="C40" s="2519" t="s">
        <v>320</v>
      </c>
      <c r="D40" s="2519"/>
      <c r="E40" s="2519"/>
      <c r="F40" s="2519"/>
      <c r="G40" s="2519"/>
      <c r="H40" s="2519"/>
      <c r="I40" s="2519"/>
      <c r="J40" s="2519"/>
      <c r="K40" s="2519"/>
      <c r="L40" s="2148"/>
      <c r="M40" s="2148"/>
      <c r="N40" s="2148"/>
      <c r="O40" s="2148"/>
      <c r="P40" s="2148"/>
      <c r="Q40" s="2148"/>
      <c r="R40" s="1561"/>
      <c r="S40" s="1315"/>
      <c r="T40" s="2214"/>
      <c r="U40" s="2222" t="s">
        <v>1820</v>
      </c>
      <c r="V40" s="2148"/>
      <c r="W40" s="2148"/>
      <c r="X40" s="2148"/>
      <c r="Y40" s="2148"/>
      <c r="Z40" s="2148"/>
      <c r="AA40" s="2148"/>
      <c r="AB40" s="2148"/>
      <c r="AC40" s="2148"/>
      <c r="AD40" s="2148"/>
      <c r="AE40" s="2148"/>
      <c r="AF40" s="2148"/>
      <c r="AG40" s="2148"/>
      <c r="AH40" s="2148"/>
      <c r="AI40" s="2148"/>
      <c r="AJ40" s="1560"/>
    </row>
    <row r="41" spans="2:38" x14ac:dyDescent="0.25">
      <c r="B41" s="586"/>
      <c r="C41" s="139" t="s">
        <v>22</v>
      </c>
      <c r="D41" s="1112">
        <v>0</v>
      </c>
      <c r="E41" s="1113">
        <v>0</v>
      </c>
      <c r="F41" s="1113">
        <v>0</v>
      </c>
      <c r="G41" s="1113">
        <v>0</v>
      </c>
      <c r="H41" s="1113">
        <v>0</v>
      </c>
      <c r="I41" s="1113">
        <v>0</v>
      </c>
      <c r="J41" s="1113">
        <v>0</v>
      </c>
      <c r="K41" s="1113">
        <v>0</v>
      </c>
      <c r="L41" s="1113">
        <v>0</v>
      </c>
      <c r="M41" s="1113">
        <v>0</v>
      </c>
      <c r="N41" s="1113">
        <v>0</v>
      </c>
      <c r="O41" s="1113">
        <v>0</v>
      </c>
      <c r="P41" s="1113">
        <v>0</v>
      </c>
      <c r="Q41" s="1114">
        <v>0</v>
      </c>
      <c r="R41" s="2212"/>
      <c r="S41" s="2208"/>
      <c r="T41" s="2214"/>
      <c r="U41" s="2226">
        <v>0</v>
      </c>
      <c r="V41" s="1113">
        <v>0</v>
      </c>
      <c r="W41" s="1113">
        <v>0</v>
      </c>
      <c r="X41" s="1113">
        <v>0</v>
      </c>
      <c r="Y41" s="1113">
        <v>0</v>
      </c>
      <c r="Z41" s="1113">
        <v>0</v>
      </c>
      <c r="AA41" s="1113">
        <v>0</v>
      </c>
      <c r="AB41" s="1113">
        <v>0</v>
      </c>
      <c r="AC41" s="1113">
        <v>0</v>
      </c>
      <c r="AD41" s="1113">
        <v>0</v>
      </c>
      <c r="AE41" s="1113">
        <v>0</v>
      </c>
      <c r="AF41" s="1113">
        <v>0</v>
      </c>
      <c r="AG41" s="1113">
        <v>0</v>
      </c>
      <c r="AH41" s="1114">
        <v>0</v>
      </c>
      <c r="AI41" s="1566">
        <f t="shared" ref="AI41:AI49" si="20">SUM(D41:Q41)+SUM(U41:AH41)</f>
        <v>0</v>
      </c>
      <c r="AJ41" s="1560"/>
      <c r="AL41"/>
    </row>
    <row r="42" spans="2:38" x14ac:dyDescent="0.25">
      <c r="B42" s="586"/>
      <c r="C42" s="140" t="s">
        <v>321</v>
      </c>
      <c r="D42" s="1115">
        <v>0</v>
      </c>
      <c r="E42" s="1116">
        <v>0</v>
      </c>
      <c r="F42" s="1116">
        <v>0</v>
      </c>
      <c r="G42" s="1116">
        <v>0</v>
      </c>
      <c r="H42" s="1116">
        <v>0</v>
      </c>
      <c r="I42" s="1116">
        <v>0</v>
      </c>
      <c r="J42" s="1116">
        <v>0</v>
      </c>
      <c r="K42" s="1116">
        <v>0</v>
      </c>
      <c r="L42" s="1116">
        <v>0</v>
      </c>
      <c r="M42" s="1116">
        <v>0</v>
      </c>
      <c r="N42" s="1116">
        <v>0</v>
      </c>
      <c r="O42" s="1116">
        <v>0</v>
      </c>
      <c r="P42" s="1116">
        <v>0</v>
      </c>
      <c r="Q42" s="1117">
        <v>0</v>
      </c>
      <c r="R42" s="2212"/>
      <c r="S42" s="2208"/>
      <c r="T42" s="2214"/>
      <c r="U42" s="2227">
        <v>0</v>
      </c>
      <c r="V42" s="1116">
        <v>0</v>
      </c>
      <c r="W42" s="1116">
        <v>0</v>
      </c>
      <c r="X42" s="1116">
        <v>0</v>
      </c>
      <c r="Y42" s="1116">
        <v>0</v>
      </c>
      <c r="Z42" s="1116">
        <v>0</v>
      </c>
      <c r="AA42" s="1116">
        <v>0</v>
      </c>
      <c r="AB42" s="1116">
        <v>0</v>
      </c>
      <c r="AC42" s="1116">
        <v>0</v>
      </c>
      <c r="AD42" s="1116">
        <v>0</v>
      </c>
      <c r="AE42" s="1116">
        <v>0</v>
      </c>
      <c r="AF42" s="1116">
        <v>0</v>
      </c>
      <c r="AG42" s="1116">
        <v>0</v>
      </c>
      <c r="AH42" s="1117">
        <v>0</v>
      </c>
      <c r="AI42" s="1564">
        <f t="shared" si="20"/>
        <v>0</v>
      </c>
      <c r="AJ42" s="1560"/>
      <c r="AL42"/>
    </row>
    <row r="43" spans="2:38" x14ac:dyDescent="0.25">
      <c r="B43" s="586"/>
      <c r="C43" s="140" t="s">
        <v>1457</v>
      </c>
      <c r="D43" s="1115">
        <v>0</v>
      </c>
      <c r="E43" s="1116">
        <v>0</v>
      </c>
      <c r="F43" s="1116">
        <v>0</v>
      </c>
      <c r="G43" s="1116">
        <v>0</v>
      </c>
      <c r="H43" s="1116">
        <v>0</v>
      </c>
      <c r="I43" s="1116">
        <v>0</v>
      </c>
      <c r="J43" s="1116">
        <v>0</v>
      </c>
      <c r="K43" s="1116">
        <v>0</v>
      </c>
      <c r="L43" s="1116">
        <v>0</v>
      </c>
      <c r="M43" s="1116">
        <v>0</v>
      </c>
      <c r="N43" s="1116">
        <v>0</v>
      </c>
      <c r="O43" s="1116">
        <v>0</v>
      </c>
      <c r="P43" s="1116">
        <v>0</v>
      </c>
      <c r="Q43" s="1117">
        <v>0</v>
      </c>
      <c r="R43" s="2212"/>
      <c r="S43" s="2208"/>
      <c r="T43" s="2214"/>
      <c r="U43" s="2227">
        <v>0</v>
      </c>
      <c r="V43" s="1116">
        <v>0</v>
      </c>
      <c r="W43" s="1116">
        <v>0</v>
      </c>
      <c r="X43" s="1116">
        <v>0</v>
      </c>
      <c r="Y43" s="1116">
        <v>0</v>
      </c>
      <c r="Z43" s="1116">
        <v>0</v>
      </c>
      <c r="AA43" s="1116">
        <v>0</v>
      </c>
      <c r="AB43" s="1116">
        <v>0</v>
      </c>
      <c r="AC43" s="1116">
        <v>0</v>
      </c>
      <c r="AD43" s="1116">
        <v>0</v>
      </c>
      <c r="AE43" s="1116">
        <v>0</v>
      </c>
      <c r="AF43" s="1116">
        <v>0</v>
      </c>
      <c r="AG43" s="1116">
        <v>0</v>
      </c>
      <c r="AH43" s="1117">
        <v>0</v>
      </c>
      <c r="AI43" s="1564">
        <f t="shared" si="20"/>
        <v>0</v>
      </c>
      <c r="AJ43" s="1560"/>
      <c r="AL43"/>
    </row>
    <row r="44" spans="2:38" x14ac:dyDescent="0.25">
      <c r="B44" s="586"/>
      <c r="C44" s="140" t="s">
        <v>322</v>
      </c>
      <c r="D44" s="1115">
        <v>0</v>
      </c>
      <c r="E44" s="1116">
        <v>0</v>
      </c>
      <c r="F44" s="1116">
        <v>0</v>
      </c>
      <c r="G44" s="1116">
        <v>0</v>
      </c>
      <c r="H44" s="1116">
        <v>0</v>
      </c>
      <c r="I44" s="1116">
        <v>0</v>
      </c>
      <c r="J44" s="1116">
        <v>0</v>
      </c>
      <c r="K44" s="1116">
        <v>0</v>
      </c>
      <c r="L44" s="1116">
        <v>0</v>
      </c>
      <c r="M44" s="1116">
        <v>0</v>
      </c>
      <c r="N44" s="1116">
        <v>0</v>
      </c>
      <c r="O44" s="1116">
        <v>0</v>
      </c>
      <c r="P44" s="1116">
        <v>0</v>
      </c>
      <c r="Q44" s="1117">
        <v>0</v>
      </c>
      <c r="R44" s="2212"/>
      <c r="S44" s="2208"/>
      <c r="T44" s="2214"/>
      <c r="U44" s="2227">
        <v>0</v>
      </c>
      <c r="V44" s="1116">
        <v>0</v>
      </c>
      <c r="W44" s="1116">
        <v>0</v>
      </c>
      <c r="X44" s="1116">
        <v>0</v>
      </c>
      <c r="Y44" s="1116">
        <v>0</v>
      </c>
      <c r="Z44" s="1116">
        <v>0</v>
      </c>
      <c r="AA44" s="1116">
        <v>0</v>
      </c>
      <c r="AB44" s="1116">
        <v>0</v>
      </c>
      <c r="AC44" s="1116">
        <v>0</v>
      </c>
      <c r="AD44" s="1116">
        <v>0</v>
      </c>
      <c r="AE44" s="1116">
        <v>0</v>
      </c>
      <c r="AF44" s="1116">
        <v>0</v>
      </c>
      <c r="AG44" s="1116">
        <v>0</v>
      </c>
      <c r="AH44" s="1117">
        <v>0</v>
      </c>
      <c r="AI44" s="1564">
        <f t="shared" si="20"/>
        <v>0</v>
      </c>
      <c r="AJ44" s="1560"/>
      <c r="AL44"/>
    </row>
    <row r="45" spans="2:38" x14ac:dyDescent="0.25">
      <c r="B45" s="586"/>
      <c r="C45" s="141" t="s">
        <v>194</v>
      </c>
      <c r="D45" s="1115">
        <v>0</v>
      </c>
      <c r="E45" s="1116">
        <v>0</v>
      </c>
      <c r="F45" s="1116">
        <v>0</v>
      </c>
      <c r="G45" s="1116">
        <v>0</v>
      </c>
      <c r="H45" s="1116">
        <v>0</v>
      </c>
      <c r="I45" s="1116">
        <v>0</v>
      </c>
      <c r="J45" s="1116">
        <v>0</v>
      </c>
      <c r="K45" s="1116">
        <v>0</v>
      </c>
      <c r="L45" s="1116">
        <v>0</v>
      </c>
      <c r="M45" s="1116">
        <v>0</v>
      </c>
      <c r="N45" s="1116">
        <v>0</v>
      </c>
      <c r="O45" s="1116">
        <v>0</v>
      </c>
      <c r="P45" s="1116">
        <v>0</v>
      </c>
      <c r="Q45" s="1117">
        <v>0</v>
      </c>
      <c r="R45" s="2212"/>
      <c r="S45" s="2208"/>
      <c r="T45" s="2214"/>
      <c r="U45" s="2227">
        <v>0</v>
      </c>
      <c r="V45" s="1116">
        <v>0</v>
      </c>
      <c r="W45" s="1116">
        <v>0</v>
      </c>
      <c r="X45" s="1116">
        <v>0</v>
      </c>
      <c r="Y45" s="1116">
        <v>0</v>
      </c>
      <c r="Z45" s="1116">
        <v>0</v>
      </c>
      <c r="AA45" s="1116">
        <v>0</v>
      </c>
      <c r="AB45" s="1116">
        <v>0</v>
      </c>
      <c r="AC45" s="1116">
        <v>0</v>
      </c>
      <c r="AD45" s="1116">
        <v>0</v>
      </c>
      <c r="AE45" s="1116">
        <v>0</v>
      </c>
      <c r="AF45" s="1116">
        <v>0</v>
      </c>
      <c r="AG45" s="1116">
        <v>0</v>
      </c>
      <c r="AH45" s="1117">
        <v>0</v>
      </c>
      <c r="AI45" s="1564">
        <f t="shared" si="20"/>
        <v>0</v>
      </c>
      <c r="AJ45" s="1560"/>
      <c r="AL45"/>
    </row>
    <row r="46" spans="2:38" x14ac:dyDescent="0.25">
      <c r="B46" s="586"/>
      <c r="C46" s="141" t="s">
        <v>200</v>
      </c>
      <c r="D46" s="1115">
        <v>0</v>
      </c>
      <c r="E46" s="1116">
        <v>0</v>
      </c>
      <c r="F46" s="1116">
        <v>0</v>
      </c>
      <c r="G46" s="1116">
        <v>0</v>
      </c>
      <c r="H46" s="1116">
        <v>0</v>
      </c>
      <c r="I46" s="1116">
        <v>0</v>
      </c>
      <c r="J46" s="1116">
        <v>0</v>
      </c>
      <c r="K46" s="1116">
        <v>0</v>
      </c>
      <c r="L46" s="1116">
        <v>0</v>
      </c>
      <c r="M46" s="1116">
        <v>0</v>
      </c>
      <c r="N46" s="1116">
        <v>0</v>
      </c>
      <c r="O46" s="1116">
        <v>0</v>
      </c>
      <c r="P46" s="1116">
        <v>0</v>
      </c>
      <c r="Q46" s="1117">
        <v>0</v>
      </c>
      <c r="R46" s="2212"/>
      <c r="S46" s="2208"/>
      <c r="T46" s="2214"/>
      <c r="U46" s="2227">
        <v>0</v>
      </c>
      <c r="V46" s="1116">
        <v>0</v>
      </c>
      <c r="W46" s="1116">
        <v>0</v>
      </c>
      <c r="X46" s="1116">
        <v>0</v>
      </c>
      <c r="Y46" s="1116">
        <v>0</v>
      </c>
      <c r="Z46" s="1116">
        <v>0</v>
      </c>
      <c r="AA46" s="1116">
        <v>0</v>
      </c>
      <c r="AB46" s="1116">
        <v>0</v>
      </c>
      <c r="AC46" s="1116">
        <v>0</v>
      </c>
      <c r="AD46" s="1116">
        <v>0</v>
      </c>
      <c r="AE46" s="1116">
        <v>0</v>
      </c>
      <c r="AF46" s="1116">
        <v>0</v>
      </c>
      <c r="AG46" s="1116">
        <v>0</v>
      </c>
      <c r="AH46" s="1117">
        <v>0</v>
      </c>
      <c r="AI46" s="1564">
        <f t="shared" si="20"/>
        <v>0</v>
      </c>
      <c r="AJ46" s="1560"/>
      <c r="AL46"/>
    </row>
    <row r="47" spans="2:38" x14ac:dyDescent="0.25">
      <c r="B47" s="586"/>
      <c r="C47" s="141" t="s">
        <v>208</v>
      </c>
      <c r="D47" s="1115">
        <v>0</v>
      </c>
      <c r="E47" s="1116">
        <v>0</v>
      </c>
      <c r="F47" s="1116">
        <v>0</v>
      </c>
      <c r="G47" s="1116">
        <v>0</v>
      </c>
      <c r="H47" s="1116">
        <v>0</v>
      </c>
      <c r="I47" s="1116">
        <v>0</v>
      </c>
      <c r="J47" s="1116">
        <v>0</v>
      </c>
      <c r="K47" s="1116">
        <v>0</v>
      </c>
      <c r="L47" s="1116">
        <v>0</v>
      </c>
      <c r="M47" s="1116">
        <v>0</v>
      </c>
      <c r="N47" s="1116">
        <v>0</v>
      </c>
      <c r="O47" s="1116">
        <v>0</v>
      </c>
      <c r="P47" s="1116">
        <v>0</v>
      </c>
      <c r="Q47" s="1117">
        <v>0</v>
      </c>
      <c r="R47" s="2212"/>
      <c r="S47" s="2208"/>
      <c r="T47" s="2214"/>
      <c r="U47" s="2227">
        <v>0</v>
      </c>
      <c r="V47" s="1116">
        <v>0</v>
      </c>
      <c r="W47" s="1116">
        <v>0</v>
      </c>
      <c r="X47" s="1116">
        <v>0</v>
      </c>
      <c r="Y47" s="1116">
        <v>0</v>
      </c>
      <c r="Z47" s="1116">
        <v>0</v>
      </c>
      <c r="AA47" s="1116">
        <v>0</v>
      </c>
      <c r="AB47" s="1116">
        <v>0</v>
      </c>
      <c r="AC47" s="1116">
        <v>0</v>
      </c>
      <c r="AD47" s="1116">
        <v>0</v>
      </c>
      <c r="AE47" s="1116">
        <v>0</v>
      </c>
      <c r="AF47" s="1116">
        <v>0</v>
      </c>
      <c r="AG47" s="1116">
        <v>0</v>
      </c>
      <c r="AH47" s="1117">
        <v>0</v>
      </c>
      <c r="AI47" s="1564">
        <f t="shared" si="20"/>
        <v>0</v>
      </c>
      <c r="AJ47" s="1560"/>
      <c r="AL47"/>
    </row>
    <row r="48" spans="2:38" x14ac:dyDescent="0.25">
      <c r="B48" s="586"/>
      <c r="C48" s="141" t="s">
        <v>211</v>
      </c>
      <c r="D48" s="1115">
        <v>0</v>
      </c>
      <c r="E48" s="1116">
        <v>0</v>
      </c>
      <c r="F48" s="1116">
        <v>0</v>
      </c>
      <c r="G48" s="1116">
        <v>0</v>
      </c>
      <c r="H48" s="1116">
        <v>0</v>
      </c>
      <c r="I48" s="1116">
        <v>0</v>
      </c>
      <c r="J48" s="1116">
        <v>0</v>
      </c>
      <c r="K48" s="1116">
        <v>0</v>
      </c>
      <c r="L48" s="1116">
        <v>0</v>
      </c>
      <c r="M48" s="1116">
        <v>0</v>
      </c>
      <c r="N48" s="1116">
        <v>0</v>
      </c>
      <c r="O48" s="1116">
        <v>0</v>
      </c>
      <c r="P48" s="1116">
        <v>0</v>
      </c>
      <c r="Q48" s="1117">
        <v>0</v>
      </c>
      <c r="R48" s="2212"/>
      <c r="S48" s="2208"/>
      <c r="T48" s="2214"/>
      <c r="U48" s="2227">
        <v>0</v>
      </c>
      <c r="V48" s="1116">
        <v>0</v>
      </c>
      <c r="W48" s="1116">
        <v>0</v>
      </c>
      <c r="X48" s="1116">
        <v>0</v>
      </c>
      <c r="Y48" s="1116">
        <v>0</v>
      </c>
      <c r="Z48" s="1116">
        <v>0</v>
      </c>
      <c r="AA48" s="1116">
        <v>0</v>
      </c>
      <c r="AB48" s="1116">
        <v>0</v>
      </c>
      <c r="AC48" s="1116">
        <v>0</v>
      </c>
      <c r="AD48" s="1116">
        <v>0</v>
      </c>
      <c r="AE48" s="1116">
        <v>0</v>
      </c>
      <c r="AF48" s="1116">
        <v>0</v>
      </c>
      <c r="AG48" s="1116">
        <v>0</v>
      </c>
      <c r="AH48" s="1117">
        <v>0</v>
      </c>
      <c r="AI48" s="1564">
        <f t="shared" si="20"/>
        <v>0</v>
      </c>
      <c r="AJ48" s="1560"/>
      <c r="AL48"/>
    </row>
    <row r="49" spans="2:38" ht="15.75" thickBot="1" x14ac:dyDescent="0.3">
      <c r="B49" s="586"/>
      <c r="C49" s="141" t="s">
        <v>323</v>
      </c>
      <c r="D49" s="1118">
        <v>0</v>
      </c>
      <c r="E49" s="1119">
        <v>0</v>
      </c>
      <c r="F49" s="1119">
        <v>0</v>
      </c>
      <c r="G49" s="1119">
        <v>0</v>
      </c>
      <c r="H49" s="1119">
        <v>0</v>
      </c>
      <c r="I49" s="1119">
        <v>0</v>
      </c>
      <c r="J49" s="1119">
        <v>0</v>
      </c>
      <c r="K49" s="1119">
        <v>0</v>
      </c>
      <c r="L49" s="1119">
        <v>0</v>
      </c>
      <c r="M49" s="1119">
        <v>0</v>
      </c>
      <c r="N49" s="1119">
        <v>0</v>
      </c>
      <c r="O49" s="1119">
        <v>0</v>
      </c>
      <c r="P49" s="1119">
        <v>0</v>
      </c>
      <c r="Q49" s="1120">
        <v>0</v>
      </c>
      <c r="R49" s="2212"/>
      <c r="S49" s="2208"/>
      <c r="T49" s="2214"/>
      <c r="U49" s="2228">
        <v>0</v>
      </c>
      <c r="V49" s="1119">
        <v>0</v>
      </c>
      <c r="W49" s="1119">
        <v>0</v>
      </c>
      <c r="X49" s="1119">
        <v>0</v>
      </c>
      <c r="Y49" s="1119">
        <v>0</v>
      </c>
      <c r="Z49" s="1119">
        <v>0</v>
      </c>
      <c r="AA49" s="1119">
        <v>0</v>
      </c>
      <c r="AB49" s="1119">
        <v>0</v>
      </c>
      <c r="AC49" s="1119">
        <v>0</v>
      </c>
      <c r="AD49" s="1119">
        <v>0</v>
      </c>
      <c r="AE49" s="1119">
        <v>0</v>
      </c>
      <c r="AF49" s="1119">
        <v>0</v>
      </c>
      <c r="AG49" s="1119">
        <v>0</v>
      </c>
      <c r="AH49" s="1120">
        <v>0</v>
      </c>
      <c r="AI49" s="1565">
        <f t="shared" si="20"/>
        <v>0</v>
      </c>
      <c r="AJ49" s="1560"/>
      <c r="AK49" s="2503" t="str">
        <f>IF(AND('6A'!J120&lt;&gt;0,AI51&lt;&gt;'6A'!J120),"WARNING: Total Costs do not match Form 6A","")</f>
        <v/>
      </c>
      <c r="AL49" s="2505"/>
    </row>
    <row r="50" spans="2:38" ht="3.75" customHeight="1" thickBot="1" x14ac:dyDescent="0.3">
      <c r="B50" s="586"/>
      <c r="C50" s="137"/>
      <c r="D50" s="130"/>
      <c r="E50" s="130"/>
      <c r="F50" s="130"/>
      <c r="G50" s="130"/>
      <c r="H50" s="130"/>
      <c r="I50" s="587"/>
      <c r="J50" s="130"/>
      <c r="K50" s="587"/>
      <c r="L50" s="130"/>
      <c r="M50" s="135"/>
      <c r="N50" s="135"/>
      <c r="O50" s="135"/>
      <c r="P50" s="135"/>
      <c r="Q50" s="135"/>
      <c r="R50" s="2213"/>
      <c r="S50" s="135"/>
      <c r="T50" s="2214"/>
      <c r="U50" s="135"/>
      <c r="V50" s="135"/>
      <c r="W50" s="135"/>
      <c r="X50" s="135"/>
      <c r="Y50" s="135"/>
      <c r="Z50" s="135"/>
      <c r="AA50" s="135"/>
      <c r="AB50" s="135"/>
      <c r="AC50" s="135"/>
      <c r="AD50" s="135"/>
      <c r="AE50" s="135"/>
      <c r="AF50" s="135"/>
      <c r="AG50" s="135"/>
      <c r="AH50" s="135"/>
      <c r="AI50" s="136"/>
      <c r="AJ50" s="1560"/>
      <c r="AK50" s="2503"/>
      <c r="AL50" s="2505"/>
    </row>
    <row r="51" spans="2:38" ht="15.75" thickBot="1" x14ac:dyDescent="0.3">
      <c r="B51" s="586"/>
      <c r="C51" s="2119" t="s">
        <v>324</v>
      </c>
      <c r="D51" s="1098">
        <f>SUM(D41:D49)</f>
        <v>0</v>
      </c>
      <c r="E51" s="1099">
        <f t="shared" ref="E51:J51" si="21">SUM(E41:E49)</f>
        <v>0</v>
      </c>
      <c r="F51" s="1099">
        <f t="shared" si="21"/>
        <v>0</v>
      </c>
      <c r="G51" s="1099">
        <f t="shared" si="21"/>
        <v>0</v>
      </c>
      <c r="H51" s="1099">
        <f t="shared" si="21"/>
        <v>0</v>
      </c>
      <c r="I51" s="1099">
        <f t="shared" si="21"/>
        <v>0</v>
      </c>
      <c r="J51" s="1099">
        <f t="shared" si="21"/>
        <v>0</v>
      </c>
      <c r="K51" s="1099">
        <f>SUM(K41:K49)</f>
        <v>0</v>
      </c>
      <c r="L51" s="1099">
        <f>SUM(L41:L49)</f>
        <v>0</v>
      </c>
      <c r="M51" s="1099">
        <f t="shared" ref="M51:AH51" si="22">SUM(M41:M49)</f>
        <v>0</v>
      </c>
      <c r="N51" s="1099">
        <f t="shared" si="22"/>
        <v>0</v>
      </c>
      <c r="O51" s="1099">
        <f t="shared" si="22"/>
        <v>0</v>
      </c>
      <c r="P51" s="1099">
        <f t="shared" si="22"/>
        <v>0</v>
      </c>
      <c r="Q51" s="1100">
        <f t="shared" si="22"/>
        <v>0</v>
      </c>
      <c r="R51" s="2233"/>
      <c r="S51" s="2234"/>
      <c r="T51" s="2214"/>
      <c r="U51" s="1098">
        <f t="shared" ref="U51:Z51" si="23">SUM(U41:U49)</f>
        <v>0</v>
      </c>
      <c r="V51" s="1099">
        <f t="shared" si="23"/>
        <v>0</v>
      </c>
      <c r="W51" s="1099">
        <f t="shared" si="23"/>
        <v>0</v>
      </c>
      <c r="X51" s="1099">
        <f t="shared" si="23"/>
        <v>0</v>
      </c>
      <c r="Y51" s="1099">
        <f>SUM(Y41:Y49)</f>
        <v>0</v>
      </c>
      <c r="Z51" s="1099">
        <f t="shared" si="23"/>
        <v>0</v>
      </c>
      <c r="AA51" s="1099">
        <f t="shared" si="22"/>
        <v>0</v>
      </c>
      <c r="AB51" s="1099">
        <f t="shared" si="22"/>
        <v>0</v>
      </c>
      <c r="AC51" s="1099">
        <f t="shared" si="22"/>
        <v>0</v>
      </c>
      <c r="AD51" s="1099">
        <f t="shared" si="22"/>
        <v>0</v>
      </c>
      <c r="AE51" s="1099">
        <f t="shared" si="22"/>
        <v>0</v>
      </c>
      <c r="AF51" s="2221">
        <f>SUM(AF41:AF49)</f>
        <v>0</v>
      </c>
      <c r="AG51" s="2221">
        <f t="shared" si="22"/>
        <v>0</v>
      </c>
      <c r="AH51" s="1100">
        <f t="shared" si="22"/>
        <v>0</v>
      </c>
      <c r="AI51" s="1978">
        <f>SUM(AI41:AI49)</f>
        <v>0</v>
      </c>
      <c r="AJ51" s="1560"/>
      <c r="AK51" s="2503"/>
      <c r="AL51" s="2505"/>
    </row>
    <row r="52" spans="2:38" ht="3.75" customHeight="1" thickBot="1" x14ac:dyDescent="0.3">
      <c r="B52" s="586"/>
      <c r="C52" s="130"/>
      <c r="D52" s="135"/>
      <c r="E52" s="135"/>
      <c r="F52" s="135"/>
      <c r="G52" s="135"/>
      <c r="H52" s="135"/>
      <c r="I52" s="589"/>
      <c r="J52" s="130"/>
      <c r="K52" s="589"/>
      <c r="L52" s="130"/>
      <c r="M52" s="135"/>
      <c r="N52" s="135"/>
      <c r="O52" s="135"/>
      <c r="P52" s="135"/>
      <c r="Q52" s="135"/>
      <c r="R52" s="2213"/>
      <c r="S52" s="135"/>
      <c r="T52" s="2214"/>
      <c r="U52" s="135"/>
      <c r="V52" s="135"/>
      <c r="W52" s="135"/>
      <c r="X52" s="135"/>
      <c r="Y52" s="135"/>
      <c r="Z52" s="135"/>
      <c r="AA52" s="135"/>
      <c r="AB52" s="135"/>
      <c r="AC52" s="135"/>
      <c r="AD52" s="589"/>
      <c r="AE52" s="130"/>
      <c r="AF52" s="130"/>
      <c r="AG52" s="130"/>
      <c r="AH52" s="130"/>
      <c r="AI52" s="137"/>
      <c r="AJ52" s="1560"/>
    </row>
    <row r="53" spans="2:38" ht="15.75" customHeight="1" thickBot="1" x14ac:dyDescent="0.3">
      <c r="B53" s="586"/>
      <c r="C53" s="133" t="s">
        <v>325</v>
      </c>
      <c r="D53" s="1098">
        <f>D38-D51</f>
        <v>0</v>
      </c>
      <c r="E53" s="1099">
        <f t="shared" ref="E53:AH53" si="24">E38-E51</f>
        <v>0</v>
      </c>
      <c r="F53" s="1099">
        <f t="shared" si="24"/>
        <v>0</v>
      </c>
      <c r="G53" s="1099">
        <f t="shared" si="24"/>
        <v>0</v>
      </c>
      <c r="H53" s="1099">
        <f t="shared" si="24"/>
        <v>0</v>
      </c>
      <c r="I53" s="1099">
        <f t="shared" si="24"/>
        <v>0</v>
      </c>
      <c r="J53" s="1099">
        <f t="shared" si="24"/>
        <v>0</v>
      </c>
      <c r="K53" s="1099">
        <f t="shared" si="24"/>
        <v>0</v>
      </c>
      <c r="L53" s="1099">
        <f t="shared" si="24"/>
        <v>0</v>
      </c>
      <c r="M53" s="1099">
        <f t="shared" si="24"/>
        <v>0</v>
      </c>
      <c r="N53" s="1099">
        <f t="shared" si="24"/>
        <v>0</v>
      </c>
      <c r="O53" s="1099">
        <f t="shared" si="24"/>
        <v>0</v>
      </c>
      <c r="P53" s="1099">
        <f t="shared" si="24"/>
        <v>0</v>
      </c>
      <c r="Q53" s="1100">
        <f t="shared" si="24"/>
        <v>0</v>
      </c>
      <c r="R53" s="2233"/>
      <c r="S53" s="2234"/>
      <c r="T53" s="2214"/>
      <c r="U53" s="1098">
        <f t="shared" si="24"/>
        <v>0</v>
      </c>
      <c r="V53" s="1099">
        <f t="shared" si="24"/>
        <v>0</v>
      </c>
      <c r="W53" s="1099">
        <f t="shared" si="24"/>
        <v>0</v>
      </c>
      <c r="X53" s="1099">
        <f t="shared" si="24"/>
        <v>0</v>
      </c>
      <c r="Y53" s="1099">
        <f t="shared" si="24"/>
        <v>0</v>
      </c>
      <c r="Z53" s="1099">
        <f t="shared" si="24"/>
        <v>0</v>
      </c>
      <c r="AA53" s="1099">
        <f t="shared" si="24"/>
        <v>0</v>
      </c>
      <c r="AB53" s="1099">
        <f t="shared" si="24"/>
        <v>0</v>
      </c>
      <c r="AC53" s="1099">
        <f t="shared" si="24"/>
        <v>0</v>
      </c>
      <c r="AD53" s="1099">
        <f t="shared" si="24"/>
        <v>0</v>
      </c>
      <c r="AE53" s="1099">
        <f t="shared" si="24"/>
        <v>0</v>
      </c>
      <c r="AF53" s="2221">
        <f t="shared" si="24"/>
        <v>0</v>
      </c>
      <c r="AG53" s="2221">
        <f t="shared" si="24"/>
        <v>0</v>
      </c>
      <c r="AH53" s="1100">
        <f t="shared" si="24"/>
        <v>0</v>
      </c>
      <c r="AI53" s="1101">
        <f>AI38-AI51</f>
        <v>0</v>
      </c>
      <c r="AJ53" s="1560"/>
      <c r="AK53" s="2503" t="str">
        <f>IF(AI53&lt;&gt;0,"WARNING: Should balance to zero","")</f>
        <v/>
      </c>
      <c r="AL53" s="2504"/>
    </row>
    <row r="54" spans="2:38" ht="7.5" customHeight="1" x14ac:dyDescent="0.25">
      <c r="B54" s="586"/>
      <c r="C54" s="130"/>
      <c r="D54" s="130"/>
      <c r="E54" s="135"/>
      <c r="F54" s="135"/>
      <c r="G54" s="135"/>
      <c r="H54" s="135"/>
      <c r="I54" s="135"/>
      <c r="J54" s="135"/>
      <c r="K54" s="135"/>
      <c r="L54" s="1095"/>
      <c r="M54" s="1095"/>
      <c r="N54" s="2205"/>
      <c r="O54" s="2205"/>
      <c r="P54" s="2205"/>
      <c r="Q54" s="2205"/>
      <c r="R54" s="1560"/>
      <c r="S54" s="2205"/>
      <c r="T54" s="2214"/>
      <c r="U54" s="2205"/>
      <c r="V54" s="2205"/>
      <c r="W54" s="2205"/>
      <c r="X54" s="2205"/>
      <c r="Y54" s="2205"/>
      <c r="Z54" s="2205"/>
      <c r="AA54" s="1095"/>
      <c r="AB54" s="1095"/>
      <c r="AC54" s="1095"/>
      <c r="AD54" s="1095"/>
      <c r="AE54" s="1095"/>
      <c r="AF54" s="2205"/>
      <c r="AG54" s="2205"/>
      <c r="AH54" s="1095"/>
      <c r="AI54" s="1095"/>
      <c r="AJ54" s="1560"/>
      <c r="AK54" s="2503"/>
      <c r="AL54" s="2504"/>
    </row>
    <row r="55" spans="2:38" x14ac:dyDescent="0.25">
      <c r="B55" s="586"/>
      <c r="C55" s="134" t="s">
        <v>326</v>
      </c>
      <c r="D55" s="1095"/>
      <c r="E55" s="135"/>
      <c r="F55" s="135"/>
      <c r="G55" s="135"/>
      <c r="H55" s="135"/>
      <c r="I55" s="135"/>
      <c r="J55" s="135"/>
      <c r="K55" s="135"/>
      <c r="L55" s="1095"/>
      <c r="M55" s="1095"/>
      <c r="N55" s="2205"/>
      <c r="O55" s="2205"/>
      <c r="P55" s="2205"/>
      <c r="Q55" s="2205"/>
      <c r="R55" s="1560"/>
      <c r="S55" s="2205"/>
      <c r="T55" s="2214"/>
      <c r="U55" s="2205"/>
      <c r="V55" s="2205"/>
      <c r="W55" s="2205"/>
      <c r="X55" s="2205"/>
      <c r="Y55" s="2205"/>
      <c r="Z55" s="2205"/>
      <c r="AA55" s="1095"/>
      <c r="AB55" s="1095"/>
      <c r="AC55" s="1095"/>
      <c r="AD55" s="1095"/>
      <c r="AE55" s="1095"/>
      <c r="AF55" s="2205"/>
      <c r="AG55" s="2205"/>
      <c r="AH55" s="1095"/>
      <c r="AI55" s="1095"/>
      <c r="AJ55" s="1560"/>
      <c r="AK55" s="2503"/>
      <c r="AL55" s="2504"/>
    </row>
    <row r="56" spans="2:38" ht="15" customHeight="1" x14ac:dyDescent="0.25">
      <c r="B56" s="586"/>
      <c r="C56" s="2508"/>
      <c r="D56" s="2509"/>
      <c r="E56" s="2509"/>
      <c r="F56" s="2509"/>
      <c r="G56" s="2509"/>
      <c r="H56" s="2509"/>
      <c r="I56" s="2509"/>
      <c r="J56" s="2509"/>
      <c r="K56" s="2510"/>
      <c r="L56" s="1095"/>
      <c r="M56" s="1095"/>
      <c r="N56" s="2205"/>
      <c r="O56" s="2205"/>
      <c r="P56" s="2205"/>
      <c r="Q56" s="2205"/>
      <c r="R56" s="1560"/>
      <c r="S56" s="2205"/>
      <c r="T56" s="2214"/>
      <c r="U56" s="2205"/>
      <c r="V56" s="2205"/>
      <c r="W56" s="2205"/>
      <c r="X56" s="2205"/>
      <c r="Y56" s="2205"/>
      <c r="Z56" s="2205"/>
      <c r="AA56" s="1095"/>
      <c r="AB56" s="1095"/>
      <c r="AC56" s="1095"/>
      <c r="AD56" s="1095"/>
      <c r="AE56" s="1095"/>
      <c r="AF56" s="2205"/>
      <c r="AG56" s="2205"/>
      <c r="AH56" s="1095"/>
      <c r="AI56" s="1095"/>
      <c r="AJ56" s="1560"/>
    </row>
    <row r="57" spans="2:38" ht="15" customHeight="1" x14ac:dyDescent="0.25">
      <c r="B57" s="586"/>
      <c r="C57" s="2511"/>
      <c r="D57" s="2512"/>
      <c r="E57" s="2512"/>
      <c r="F57" s="2512"/>
      <c r="G57" s="2512"/>
      <c r="H57" s="2512"/>
      <c r="I57" s="2512"/>
      <c r="J57" s="2512"/>
      <c r="K57" s="2513"/>
      <c r="L57" s="1095"/>
      <c r="M57" s="1095"/>
      <c r="N57" s="2205"/>
      <c r="O57" s="2205"/>
      <c r="P57" s="2205"/>
      <c r="Q57" s="2205"/>
      <c r="R57" s="1560"/>
      <c r="S57" s="2205"/>
      <c r="T57" s="2214"/>
      <c r="U57" s="2205"/>
      <c r="V57" s="2205"/>
      <c r="W57" s="2205"/>
      <c r="X57" s="2205"/>
      <c r="Y57" s="2205"/>
      <c r="Z57" s="2205"/>
      <c r="AA57" s="1095"/>
      <c r="AB57" s="1095"/>
      <c r="AC57" s="1095"/>
      <c r="AD57" s="1095"/>
      <c r="AE57" s="1095"/>
      <c r="AF57" s="2205"/>
      <c r="AG57" s="2205"/>
      <c r="AH57" s="1095"/>
      <c r="AI57" s="1095"/>
      <c r="AJ57" s="1560"/>
    </row>
    <row r="58" spans="2:38" ht="15" customHeight="1" x14ac:dyDescent="0.25">
      <c r="B58" s="586"/>
      <c r="C58" s="2511"/>
      <c r="D58" s="2512"/>
      <c r="E58" s="2512"/>
      <c r="F58" s="2512"/>
      <c r="G58" s="2512"/>
      <c r="H58" s="2512"/>
      <c r="I58" s="2512"/>
      <c r="J58" s="2512"/>
      <c r="K58" s="2513"/>
      <c r="L58" s="1095"/>
      <c r="M58" s="1095"/>
      <c r="N58" s="2205"/>
      <c r="O58" s="2205"/>
      <c r="P58" s="2205"/>
      <c r="Q58" s="2205"/>
      <c r="R58" s="1560"/>
      <c r="S58" s="2205"/>
      <c r="T58" s="2214"/>
      <c r="U58" s="2205"/>
      <c r="V58" s="2205"/>
      <c r="W58" s="2205"/>
      <c r="X58" s="2205"/>
      <c r="Y58" s="2205"/>
      <c r="Z58" s="2205"/>
      <c r="AA58" s="1095"/>
      <c r="AB58" s="1095"/>
      <c r="AC58" s="1095"/>
      <c r="AD58" s="1095"/>
      <c r="AE58" s="1095"/>
      <c r="AF58" s="2205"/>
      <c r="AG58" s="2205"/>
      <c r="AH58" s="1095"/>
      <c r="AI58" s="1095"/>
      <c r="AJ58" s="1560"/>
    </row>
    <row r="59" spans="2:38" ht="15" customHeight="1" x14ac:dyDescent="0.25">
      <c r="B59" s="586"/>
      <c r="C59" s="2514"/>
      <c r="D59" s="2515"/>
      <c r="E59" s="2515"/>
      <c r="F59" s="2515"/>
      <c r="G59" s="2515"/>
      <c r="H59" s="2515"/>
      <c r="I59" s="2515"/>
      <c r="J59" s="2515"/>
      <c r="K59" s="2516"/>
      <c r="L59" s="1095"/>
      <c r="M59" s="1095"/>
      <c r="N59" s="2205"/>
      <c r="O59" s="2205"/>
      <c r="P59" s="2205"/>
      <c r="Q59" s="2205"/>
      <c r="R59" s="1560"/>
      <c r="S59" s="2205"/>
      <c r="T59" s="2214"/>
      <c r="U59" s="2205"/>
      <c r="V59" s="2205"/>
      <c r="W59" s="2205"/>
      <c r="X59" s="2205"/>
      <c r="Y59" s="2205"/>
      <c r="Z59" s="2205"/>
      <c r="AA59" s="1095"/>
      <c r="AB59" s="1095"/>
      <c r="AC59" s="1095"/>
      <c r="AD59" s="1095"/>
      <c r="AE59" s="1095"/>
      <c r="AF59" s="2205"/>
      <c r="AG59" s="2205"/>
      <c r="AH59" s="1095"/>
      <c r="AI59" s="1095"/>
      <c r="AJ59" s="1560"/>
    </row>
    <row r="60" spans="2:38" ht="9" customHeight="1" thickBot="1" x14ac:dyDescent="0.3">
      <c r="B60" s="590"/>
      <c r="C60" s="1097"/>
      <c r="D60" s="1096"/>
      <c r="E60" s="1096"/>
      <c r="F60" s="1096"/>
      <c r="G60" s="1096"/>
      <c r="H60" s="1096"/>
      <c r="I60" s="1096"/>
      <c r="J60" s="1096"/>
      <c r="K60" s="1096"/>
      <c r="L60" s="1567"/>
      <c r="M60" s="1567"/>
      <c r="N60" s="1567"/>
      <c r="O60" s="1567"/>
      <c r="P60" s="1567"/>
      <c r="Q60" s="1567"/>
      <c r="R60" s="1516"/>
      <c r="S60" s="2205"/>
      <c r="T60" s="2215"/>
      <c r="U60" s="1567"/>
      <c r="V60" s="1567"/>
      <c r="W60" s="1567"/>
      <c r="X60" s="1567"/>
      <c r="Y60" s="1567"/>
      <c r="Z60" s="1567"/>
      <c r="AA60" s="1567"/>
      <c r="AB60" s="1567"/>
      <c r="AC60" s="1567"/>
      <c r="AD60" s="1567"/>
      <c r="AE60" s="1567"/>
      <c r="AF60" s="1567"/>
      <c r="AG60" s="1567"/>
      <c r="AH60" s="1567"/>
      <c r="AI60" s="1567"/>
      <c r="AJ60" s="1516"/>
    </row>
    <row r="61" spans="2:38" ht="3.75" customHeight="1" x14ac:dyDescent="0.25"/>
    <row r="62" spans="2:38" ht="3.75" customHeight="1" x14ac:dyDescent="0.25"/>
  </sheetData>
  <sheetProtection algorithmName="SHA-512" hashValue="r9GK1MHImlnbXWgiQcsidFmzTGDjZHEjonQDQ3ZE+nxPqOt9TJTVu72MRZWutjDCtYxORtiXoKWEEI9c6VXiUg==" saltValue="R5b5GI+Uv9oC60PCrsNQBw==" spinCount="100000" sheet="1" formatCells="0" formatColumns="0" formatRows="0" insertRows="0"/>
  <mergeCells count="8">
    <mergeCell ref="U11:AB11"/>
    <mergeCell ref="AK53:AL55"/>
    <mergeCell ref="AK49:AL51"/>
    <mergeCell ref="AK36:AL38"/>
    <mergeCell ref="C56:K59"/>
    <mergeCell ref="C11:J11"/>
    <mergeCell ref="C17:K17"/>
    <mergeCell ref="C40:K40"/>
  </mergeCells>
  <conditionalFormatting sqref="AK36:AL38">
    <cfRule type="containsText" dxfId="40" priority="3" operator="containsText" text="warning">
      <formula>NOT(ISERROR(SEARCH("warning",AK36)))</formula>
    </cfRule>
  </conditionalFormatting>
  <conditionalFormatting sqref="AK49:AL51">
    <cfRule type="containsText" dxfId="39" priority="2" operator="containsText" text="warning">
      <formula>NOT(ISERROR(SEARCH("warning",AK49)))</formula>
    </cfRule>
  </conditionalFormatting>
  <conditionalFormatting sqref="AK53">
    <cfRule type="containsText" dxfId="38" priority="1" operator="containsText" text="warning">
      <formula>NOT(ISERROR(SEARCH("warning",AK53)))</formula>
    </cfRule>
  </conditionalFormatting>
  <pageMargins left="0.25" right="0.25" top="0.75" bottom="0.75" header="0.3" footer="0.3"/>
  <pageSetup scale="69" fitToWidth="2" orientation="landscape" r:id="rId1"/>
  <headerFooter>
    <oddFooter>&amp;LForm 7B
Estimate of Cash Flow During Development&amp;CCFA Forms</oddFooter>
  </headerFooter>
  <rowBreaks count="1" manualBreakCount="1">
    <brk id="61" min="1" max="1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7:W54"/>
  <sheetViews>
    <sheetView showGridLines="0" topLeftCell="A22" zoomScaleNormal="100" zoomScaleSheetLayoutView="100" workbookViewId="0">
      <selection activeCell="D45" sqref="D45"/>
    </sheetView>
  </sheetViews>
  <sheetFormatPr defaultColWidth="9.140625" defaultRowHeight="15" x14ac:dyDescent="0.25"/>
  <cols>
    <col min="1" max="2" width="1.7109375" style="414" customWidth="1"/>
    <col min="3" max="3" width="14.28515625" style="414" customWidth="1"/>
    <col min="4" max="4" width="5.28515625" style="414" bestFit="1" customWidth="1"/>
    <col min="5" max="5" width="8.42578125" style="414" bestFit="1" customWidth="1"/>
    <col min="6" max="7" width="10" style="414" bestFit="1" customWidth="1"/>
    <col min="8" max="8" width="11" style="414" customWidth="1"/>
    <col min="9" max="9" width="11.140625" style="414" customWidth="1"/>
    <col min="10" max="10" width="12.28515625" style="414" customWidth="1"/>
    <col min="11" max="12" width="11.140625" style="414" customWidth="1"/>
    <col min="13" max="13" width="11.7109375" style="414" bestFit="1" customWidth="1"/>
    <col min="14" max="15" width="12.5703125" style="414" bestFit="1" customWidth="1"/>
    <col min="16" max="16" width="1.7109375" style="414" customWidth="1"/>
    <col min="17" max="17" width="2.85546875" style="414" customWidth="1"/>
    <col min="18" max="16384" width="9.140625" style="414"/>
  </cols>
  <sheetData>
    <row r="7" spans="2:20" ht="9" customHeight="1" thickBot="1" x14ac:dyDescent="0.3"/>
    <row r="8" spans="2:20" ht="9" customHeight="1" x14ac:dyDescent="0.25">
      <c r="B8" s="199"/>
      <c r="C8" s="652"/>
      <c r="D8" s="652"/>
      <c r="E8" s="653"/>
      <c r="F8" s="653"/>
      <c r="G8" s="653"/>
      <c r="H8" s="652"/>
      <c r="I8" s="652"/>
      <c r="J8" s="652"/>
      <c r="K8" s="652"/>
      <c r="L8" s="652"/>
      <c r="M8" s="652"/>
      <c r="N8" s="652"/>
      <c r="O8" s="652"/>
      <c r="P8" s="654"/>
    </row>
    <row r="9" spans="2:20" ht="18.75" x14ac:dyDescent="0.25">
      <c r="B9" s="4"/>
      <c r="C9" s="2320" t="s">
        <v>547</v>
      </c>
      <c r="D9" s="2320"/>
      <c r="E9" s="2320"/>
      <c r="F9" s="2320"/>
      <c r="G9" s="2320"/>
      <c r="H9" s="2320"/>
      <c r="I9" s="2320"/>
      <c r="J9" s="2320"/>
      <c r="K9" s="2320"/>
      <c r="L9" s="2320"/>
      <c r="M9" s="2320"/>
      <c r="N9" s="2320"/>
      <c r="O9" s="2320"/>
      <c r="P9" s="655"/>
    </row>
    <row r="10" spans="2:20" x14ac:dyDescent="0.25">
      <c r="B10" s="4"/>
      <c r="C10" s="1"/>
      <c r="D10" s="1"/>
      <c r="E10" s="143"/>
      <c r="F10" s="143"/>
      <c r="G10" s="143"/>
      <c r="H10" s="1"/>
      <c r="I10" s="1"/>
      <c r="J10" s="1"/>
      <c r="K10" s="1"/>
      <c r="L10" s="1"/>
      <c r="M10" s="1"/>
      <c r="N10" s="1"/>
      <c r="O10" s="1"/>
      <c r="P10" s="655"/>
    </row>
    <row r="11" spans="2:20" ht="15.75" thickBot="1" x14ac:dyDescent="0.3">
      <c r="B11" s="493"/>
      <c r="C11" s="2410" t="str">
        <f>IF('1'!G5="","Enter Project Name on Form 1",(CONCATENATE("Project Name: ",'1'!G5)))</f>
        <v>Enter Project Name on Form 1</v>
      </c>
      <c r="D11" s="2410"/>
      <c r="E11" s="2410"/>
      <c r="F11" s="2410"/>
      <c r="G11" s="2410"/>
      <c r="H11" s="2410"/>
      <c r="I11" s="2410"/>
      <c r="J11" s="2410"/>
      <c r="K11" s="2410"/>
      <c r="L11" s="2410"/>
      <c r="M11" s="2410"/>
      <c r="N11" s="2410"/>
      <c r="O11" s="492"/>
      <c r="P11" s="559"/>
    </row>
    <row r="12" spans="2:20" ht="22.5" customHeight="1" thickBot="1" x14ac:dyDescent="0.3">
      <c r="B12" s="4"/>
      <c r="C12" s="1"/>
      <c r="D12" s="1"/>
      <c r="E12" s="143"/>
      <c r="F12" s="143"/>
      <c r="G12" s="143"/>
      <c r="H12" s="1"/>
      <c r="I12" s="1"/>
      <c r="J12" s="1"/>
      <c r="K12" s="1"/>
      <c r="L12" s="1"/>
      <c r="M12" s="1"/>
      <c r="N12" s="1"/>
      <c r="O12" s="1"/>
      <c r="P12" s="655"/>
    </row>
    <row r="13" spans="2:20" ht="48.75" thickBot="1" x14ac:dyDescent="0.3">
      <c r="B13" s="4"/>
      <c r="C13" s="656" t="s">
        <v>328</v>
      </c>
      <c r="D13" s="657" t="s">
        <v>595</v>
      </c>
      <c r="E13" s="657" t="s">
        <v>1121</v>
      </c>
      <c r="F13" s="657" t="s">
        <v>596</v>
      </c>
      <c r="G13" s="658" t="s">
        <v>535</v>
      </c>
      <c r="H13" s="659" t="s">
        <v>329</v>
      </c>
      <c r="I13" s="657" t="s">
        <v>1461</v>
      </c>
      <c r="J13" s="659" t="s">
        <v>330</v>
      </c>
      <c r="K13" s="659" t="s">
        <v>331</v>
      </c>
      <c r="L13" s="657" t="s">
        <v>332</v>
      </c>
      <c r="M13" s="659" t="s">
        <v>333</v>
      </c>
      <c r="N13" s="659" t="s">
        <v>334</v>
      </c>
      <c r="O13" s="660" t="s">
        <v>335</v>
      </c>
      <c r="P13" s="144"/>
    </row>
    <row r="14" spans="2:20" x14ac:dyDescent="0.25">
      <c r="B14" s="4"/>
      <c r="C14" s="1121"/>
      <c r="D14" s="1122"/>
      <c r="E14" s="1122"/>
      <c r="F14" s="1122"/>
      <c r="G14" s="1122"/>
      <c r="H14" s="1123">
        <v>0</v>
      </c>
      <c r="I14" s="1123">
        <v>0</v>
      </c>
      <c r="J14" s="1890">
        <f>H14+I14</f>
        <v>0</v>
      </c>
      <c r="K14" s="1123">
        <v>0</v>
      </c>
      <c r="L14" s="1890">
        <f>J14+K14</f>
        <v>0</v>
      </c>
      <c r="M14" s="1890">
        <f>D14*H14*12</f>
        <v>0</v>
      </c>
      <c r="N14" s="1890">
        <f>D14*K14*12</f>
        <v>0</v>
      </c>
      <c r="O14" s="1891">
        <f>M14+N14</f>
        <v>0</v>
      </c>
      <c r="P14" s="144"/>
    </row>
    <row r="15" spans="2:20" x14ac:dyDescent="0.25">
      <c r="B15" s="4"/>
      <c r="C15" s="1124"/>
      <c r="D15" s="1125"/>
      <c r="E15" s="2160"/>
      <c r="F15" s="1125"/>
      <c r="G15" s="2160"/>
      <c r="H15" s="1126">
        <v>0</v>
      </c>
      <c r="I15" s="1126">
        <v>0</v>
      </c>
      <c r="J15" s="1892">
        <f t="shared" ref="J15:J26" si="0">H15+I15</f>
        <v>0</v>
      </c>
      <c r="K15" s="1126">
        <v>0</v>
      </c>
      <c r="L15" s="1892">
        <f t="shared" ref="L15:L26" si="1">J15+K15</f>
        <v>0</v>
      </c>
      <c r="M15" s="1892">
        <f t="shared" ref="M15:M26" si="2">D15*H15*12</f>
        <v>0</v>
      </c>
      <c r="N15" s="1892">
        <f t="shared" ref="N15:N26" si="3">D15*K15*12</f>
        <v>0</v>
      </c>
      <c r="O15" s="1893">
        <f t="shared" ref="O15:O26" si="4">M15+N15</f>
        <v>0</v>
      </c>
      <c r="P15" s="144"/>
    </row>
    <row r="16" spans="2:20" ht="15" customHeight="1" x14ac:dyDescent="0.25">
      <c r="B16" s="4"/>
      <c r="C16" s="1124"/>
      <c r="D16" s="1125"/>
      <c r="E16" s="2160"/>
      <c r="F16" s="1125"/>
      <c r="G16" s="2160"/>
      <c r="H16" s="1126">
        <v>0</v>
      </c>
      <c r="I16" s="1126">
        <v>0</v>
      </c>
      <c r="J16" s="1892">
        <f t="shared" si="0"/>
        <v>0</v>
      </c>
      <c r="K16" s="1126">
        <v>0</v>
      </c>
      <c r="L16" s="1892">
        <f t="shared" si="1"/>
        <v>0</v>
      </c>
      <c r="M16" s="1892">
        <f t="shared" si="2"/>
        <v>0</v>
      </c>
      <c r="N16" s="1892">
        <f t="shared" si="3"/>
        <v>0</v>
      </c>
      <c r="O16" s="1893">
        <f t="shared" si="4"/>
        <v>0</v>
      </c>
      <c r="P16" s="655"/>
      <c r="R16" s="2521" t="str">
        <f>IF(L45&lt;&gt;'2A'!I22,"WARNING: Total Number of Low Income Units does not match Form 2A","")</f>
        <v/>
      </c>
      <c r="S16" s="2521"/>
      <c r="T16" s="2521"/>
    </row>
    <row r="17" spans="2:23" x14ac:dyDescent="0.25">
      <c r="B17" s="4"/>
      <c r="C17" s="1124"/>
      <c r="D17" s="1125"/>
      <c r="E17" s="2160"/>
      <c r="F17" s="1125"/>
      <c r="G17" s="2160"/>
      <c r="H17" s="1126">
        <v>0</v>
      </c>
      <c r="I17" s="1126">
        <v>0</v>
      </c>
      <c r="J17" s="1892">
        <f>H17+I17</f>
        <v>0</v>
      </c>
      <c r="K17" s="1126">
        <v>0</v>
      </c>
      <c r="L17" s="1892">
        <f t="shared" si="1"/>
        <v>0</v>
      </c>
      <c r="M17" s="1892">
        <f t="shared" si="2"/>
        <v>0</v>
      </c>
      <c r="N17" s="1892">
        <f t="shared" si="3"/>
        <v>0</v>
      </c>
      <c r="O17" s="1893">
        <f t="shared" si="4"/>
        <v>0</v>
      </c>
      <c r="P17" s="655"/>
      <c r="R17" s="2521"/>
      <c r="S17" s="2521"/>
      <c r="T17" s="2521"/>
    </row>
    <row r="18" spans="2:23" x14ac:dyDescent="0.25">
      <c r="B18" s="4"/>
      <c r="C18" s="1124"/>
      <c r="D18" s="1125"/>
      <c r="E18" s="2160"/>
      <c r="F18" s="1125"/>
      <c r="G18" s="2160"/>
      <c r="H18" s="1126">
        <v>0</v>
      </c>
      <c r="I18" s="1126">
        <v>0</v>
      </c>
      <c r="J18" s="1892">
        <f t="shared" si="0"/>
        <v>0</v>
      </c>
      <c r="K18" s="1126">
        <v>0</v>
      </c>
      <c r="L18" s="1892">
        <f t="shared" si="1"/>
        <v>0</v>
      </c>
      <c r="M18" s="1892">
        <f t="shared" si="2"/>
        <v>0</v>
      </c>
      <c r="N18" s="1892">
        <f t="shared" si="3"/>
        <v>0</v>
      </c>
      <c r="O18" s="1893">
        <f t="shared" si="4"/>
        <v>0</v>
      </c>
      <c r="P18" s="655"/>
      <c r="R18" s="2521"/>
      <c r="S18" s="2521"/>
      <c r="T18" s="2521"/>
    </row>
    <row r="19" spans="2:23" x14ac:dyDescent="0.25">
      <c r="B19" s="4"/>
      <c r="C19" s="1124"/>
      <c r="D19" s="1125"/>
      <c r="E19" s="2160"/>
      <c r="F19" s="1125"/>
      <c r="G19" s="2160"/>
      <c r="H19" s="1126">
        <v>0</v>
      </c>
      <c r="I19" s="1126">
        <v>0</v>
      </c>
      <c r="J19" s="1892">
        <f>H19+I19</f>
        <v>0</v>
      </c>
      <c r="K19" s="1126">
        <v>0</v>
      </c>
      <c r="L19" s="1892">
        <f t="shared" si="1"/>
        <v>0</v>
      </c>
      <c r="M19" s="1892">
        <f t="shared" si="2"/>
        <v>0</v>
      </c>
      <c r="N19" s="1892">
        <f t="shared" si="3"/>
        <v>0</v>
      </c>
      <c r="O19" s="1893">
        <f t="shared" si="4"/>
        <v>0</v>
      </c>
      <c r="P19" s="655"/>
    </row>
    <row r="20" spans="2:23" x14ac:dyDescent="0.25">
      <c r="B20" s="4"/>
      <c r="C20" s="1124"/>
      <c r="D20" s="1125"/>
      <c r="E20" s="2160"/>
      <c r="F20" s="1125"/>
      <c r="G20" s="2160"/>
      <c r="H20" s="1126">
        <v>0</v>
      </c>
      <c r="I20" s="1126">
        <v>0</v>
      </c>
      <c r="J20" s="1892">
        <f t="shared" si="0"/>
        <v>0</v>
      </c>
      <c r="K20" s="1126">
        <v>0</v>
      </c>
      <c r="L20" s="1892">
        <f t="shared" si="1"/>
        <v>0</v>
      </c>
      <c r="M20" s="1892">
        <f t="shared" si="2"/>
        <v>0</v>
      </c>
      <c r="N20" s="1892">
        <f t="shared" si="3"/>
        <v>0</v>
      </c>
      <c r="O20" s="1893">
        <f t="shared" si="4"/>
        <v>0</v>
      </c>
      <c r="P20" s="655"/>
    </row>
    <row r="21" spans="2:23" x14ac:dyDescent="0.25">
      <c r="B21" s="4"/>
      <c r="C21" s="1124"/>
      <c r="D21" s="1125"/>
      <c r="E21" s="2160"/>
      <c r="F21" s="1125"/>
      <c r="G21" s="2160"/>
      <c r="H21" s="1126">
        <v>0</v>
      </c>
      <c r="I21" s="1126">
        <v>0</v>
      </c>
      <c r="J21" s="1892">
        <f t="shared" si="0"/>
        <v>0</v>
      </c>
      <c r="K21" s="1126">
        <v>0</v>
      </c>
      <c r="L21" s="1892">
        <f t="shared" si="1"/>
        <v>0</v>
      </c>
      <c r="M21" s="1892">
        <f t="shared" si="2"/>
        <v>0</v>
      </c>
      <c r="N21" s="1892">
        <f t="shared" si="3"/>
        <v>0</v>
      </c>
      <c r="O21" s="1893">
        <f t="shared" si="4"/>
        <v>0</v>
      </c>
      <c r="P21" s="655"/>
    </row>
    <row r="22" spans="2:23" x14ac:dyDescent="0.25">
      <c r="B22" s="4"/>
      <c r="C22" s="1124"/>
      <c r="D22" s="1125"/>
      <c r="E22" s="2160"/>
      <c r="F22" s="1125"/>
      <c r="G22" s="2160"/>
      <c r="H22" s="1126">
        <v>0</v>
      </c>
      <c r="I22" s="1126">
        <v>0</v>
      </c>
      <c r="J22" s="1892">
        <f t="shared" si="0"/>
        <v>0</v>
      </c>
      <c r="K22" s="1126">
        <v>0</v>
      </c>
      <c r="L22" s="1892">
        <f t="shared" si="1"/>
        <v>0</v>
      </c>
      <c r="M22" s="1892">
        <f t="shared" si="2"/>
        <v>0</v>
      </c>
      <c r="N22" s="1892">
        <f t="shared" si="3"/>
        <v>0</v>
      </c>
      <c r="O22" s="1893">
        <f t="shared" si="4"/>
        <v>0</v>
      </c>
      <c r="P22" s="144"/>
    </row>
    <row r="23" spans="2:23" x14ac:dyDescent="0.25">
      <c r="B23" s="4"/>
      <c r="C23" s="1124"/>
      <c r="D23" s="1125"/>
      <c r="E23" s="2160"/>
      <c r="F23" s="1125"/>
      <c r="G23" s="2160"/>
      <c r="H23" s="1126">
        <v>0</v>
      </c>
      <c r="I23" s="1126">
        <v>0</v>
      </c>
      <c r="J23" s="1892">
        <f t="shared" si="0"/>
        <v>0</v>
      </c>
      <c r="K23" s="1126">
        <v>0</v>
      </c>
      <c r="L23" s="1892">
        <f t="shared" si="1"/>
        <v>0</v>
      </c>
      <c r="M23" s="1892">
        <f t="shared" si="2"/>
        <v>0</v>
      </c>
      <c r="N23" s="1892">
        <f t="shared" si="3"/>
        <v>0</v>
      </c>
      <c r="O23" s="1893">
        <f t="shared" si="4"/>
        <v>0</v>
      </c>
      <c r="P23" s="144"/>
    </row>
    <row r="24" spans="2:23" x14ac:dyDescent="0.25">
      <c r="B24" s="4"/>
      <c r="C24" s="1124"/>
      <c r="D24" s="1125"/>
      <c r="E24" s="2160"/>
      <c r="F24" s="1125"/>
      <c r="G24" s="2160"/>
      <c r="H24" s="1126">
        <v>0</v>
      </c>
      <c r="I24" s="1126">
        <v>0</v>
      </c>
      <c r="J24" s="1892">
        <f t="shared" si="0"/>
        <v>0</v>
      </c>
      <c r="K24" s="1126">
        <v>0</v>
      </c>
      <c r="L24" s="1892">
        <f t="shared" si="1"/>
        <v>0</v>
      </c>
      <c r="M24" s="1892">
        <f t="shared" si="2"/>
        <v>0</v>
      </c>
      <c r="N24" s="1892">
        <f t="shared" si="3"/>
        <v>0</v>
      </c>
      <c r="O24" s="1893">
        <f t="shared" si="4"/>
        <v>0</v>
      </c>
      <c r="P24" s="144"/>
    </row>
    <row r="25" spans="2:23" x14ac:dyDescent="0.25">
      <c r="B25" s="4"/>
      <c r="C25" s="1124"/>
      <c r="D25" s="1125"/>
      <c r="E25" s="2160"/>
      <c r="F25" s="1125"/>
      <c r="G25" s="2160"/>
      <c r="H25" s="1126">
        <v>0</v>
      </c>
      <c r="I25" s="1126">
        <v>0</v>
      </c>
      <c r="J25" s="1892">
        <f t="shared" si="0"/>
        <v>0</v>
      </c>
      <c r="K25" s="1126">
        <v>0</v>
      </c>
      <c r="L25" s="1892">
        <f t="shared" si="1"/>
        <v>0</v>
      </c>
      <c r="M25" s="1892">
        <f t="shared" si="2"/>
        <v>0</v>
      </c>
      <c r="N25" s="1892">
        <f t="shared" si="3"/>
        <v>0</v>
      </c>
      <c r="O25" s="1893">
        <f t="shared" si="4"/>
        <v>0</v>
      </c>
      <c r="P25" s="144"/>
    </row>
    <row r="26" spans="2:23" x14ac:dyDescent="0.25">
      <c r="B26" s="4"/>
      <c r="C26" s="1127"/>
      <c r="D26" s="1128"/>
      <c r="E26" s="2160"/>
      <c r="F26" s="1128"/>
      <c r="G26" s="2160"/>
      <c r="H26" s="1129">
        <v>0</v>
      </c>
      <c r="I26" s="1129">
        <v>0</v>
      </c>
      <c r="J26" s="1894">
        <f t="shared" si="0"/>
        <v>0</v>
      </c>
      <c r="K26" s="1129">
        <v>0</v>
      </c>
      <c r="L26" s="1894">
        <f t="shared" si="1"/>
        <v>0</v>
      </c>
      <c r="M26" s="1894">
        <f t="shared" si="2"/>
        <v>0</v>
      </c>
      <c r="N26" s="1894">
        <f t="shared" si="3"/>
        <v>0</v>
      </c>
      <c r="O26" s="1895">
        <f t="shared" si="4"/>
        <v>0</v>
      </c>
      <c r="P26" s="144"/>
    </row>
    <row r="27" spans="2:23" ht="3.75" customHeight="1" x14ac:dyDescent="0.25">
      <c r="B27" s="4"/>
      <c r="C27" s="2162"/>
      <c r="D27" s="2163">
        <f>SUM(D14:D26)</f>
        <v>0</v>
      </c>
      <c r="E27" s="2163"/>
      <c r="F27" s="2163"/>
      <c r="G27" s="2163"/>
      <c r="H27" s="1568"/>
      <c r="I27" s="1568"/>
      <c r="J27" s="1569"/>
      <c r="K27" s="1568"/>
      <c r="L27" s="1569"/>
      <c r="M27" s="1569"/>
      <c r="N27" s="1569"/>
      <c r="O27" s="1570"/>
      <c r="P27" s="144"/>
    </row>
    <row r="28" spans="2:23" ht="24" x14ac:dyDescent="0.25">
      <c r="B28" s="4"/>
      <c r="C28" s="1896" t="s">
        <v>336</v>
      </c>
      <c r="D28" s="784"/>
      <c r="E28" s="2164"/>
      <c r="F28" s="784"/>
      <c r="G28" s="2164"/>
      <c r="H28" s="1897"/>
      <c r="I28" s="1897"/>
      <c r="J28" s="1571"/>
      <c r="K28" s="1897"/>
      <c r="L28" s="1571"/>
      <c r="M28" s="1571"/>
      <c r="N28" s="1571"/>
      <c r="O28" s="1572"/>
      <c r="P28" s="144"/>
    </row>
    <row r="29" spans="2:23" ht="15.75" customHeight="1" thickBot="1" x14ac:dyDescent="0.3">
      <c r="B29" s="4"/>
      <c r="C29" s="1898" t="s">
        <v>600</v>
      </c>
      <c r="D29" s="782"/>
      <c r="E29" s="2160"/>
      <c r="F29" s="782"/>
      <c r="G29" s="2160"/>
      <c r="H29" s="783">
        <v>0</v>
      </c>
      <c r="I29" s="1505">
        <v>0</v>
      </c>
      <c r="J29" s="1894">
        <f>H29+I29</f>
        <v>0</v>
      </c>
      <c r="K29" s="783">
        <v>0</v>
      </c>
      <c r="L29" s="1894">
        <f>J29+K29</f>
        <v>0</v>
      </c>
      <c r="M29" s="1894">
        <f>D29*H29*12</f>
        <v>0</v>
      </c>
      <c r="N29" s="1894">
        <f>D29*K29*12</f>
        <v>0</v>
      </c>
      <c r="O29" s="1895">
        <f>M29+N29</f>
        <v>0</v>
      </c>
      <c r="P29" s="144"/>
      <c r="R29" s="2520" t="str">
        <f>IF(D28&lt;&gt;'2A'!K22,"WARNING: Total Number of CAUs/Manager Units does not match Form 2A","")</f>
        <v/>
      </c>
      <c r="S29" s="2520"/>
      <c r="T29" s="2520"/>
      <c r="U29" s="2521" t="str">
        <f>IF(D29&lt;&gt;'2A'!J22,"WARNING: Total Number of Market Rate Units does not match Form 2A","")</f>
        <v/>
      </c>
      <c r="V29" s="2521"/>
      <c r="W29" s="2521"/>
    </row>
    <row r="30" spans="2:23" ht="16.5" thickTop="1" thickBot="1" x14ac:dyDescent="0.3">
      <c r="B30" s="1573"/>
      <c r="C30" s="661" t="s">
        <v>85</v>
      </c>
      <c r="D30" s="662">
        <f>D27+SUM(D28:D29)</f>
        <v>0</v>
      </c>
      <c r="E30" s="663"/>
      <c r="F30" s="664"/>
      <c r="G30" s="664"/>
      <c r="H30" s="1504"/>
      <c r="I30" s="1504"/>
      <c r="J30" s="665"/>
      <c r="K30" s="665"/>
      <c r="L30" s="665"/>
      <c r="M30" s="666">
        <f>SUM(M14:M26)+(SUMIF(C28:C29,"Market Rate",M28:M29))</f>
        <v>0</v>
      </c>
      <c r="N30" s="1076">
        <f>SUM(N14:N26)+(SUMIF(C28:C29,"Market Rate",N28:N29))</f>
        <v>0</v>
      </c>
      <c r="O30" s="667">
        <f>SUM(O14:O26)+(SUMIF(C28:C29,"Market Rate",O28:O29))</f>
        <v>0</v>
      </c>
      <c r="P30" s="1561"/>
      <c r="R30" s="2520"/>
      <c r="S30" s="2520"/>
      <c r="T30" s="2520"/>
      <c r="U30" s="2521"/>
      <c r="V30" s="2521"/>
      <c r="W30" s="2521"/>
    </row>
    <row r="31" spans="2:23" x14ac:dyDescent="0.25">
      <c r="B31" s="4"/>
      <c r="C31" s="668"/>
      <c r="D31" s="669"/>
      <c r="E31" s="670"/>
      <c r="F31" s="670"/>
      <c r="G31" s="670"/>
      <c r="H31" s="1979"/>
      <c r="I31" s="670"/>
      <c r="J31" s="670"/>
      <c r="K31" s="670"/>
      <c r="M31" s="671"/>
      <c r="N31" s="672"/>
      <c r="O31" s="671"/>
      <c r="P31" s="144"/>
      <c r="R31" s="2520"/>
      <c r="S31" s="2520"/>
      <c r="T31" s="2520"/>
      <c r="U31" s="2521"/>
      <c r="V31" s="2521"/>
      <c r="W31" s="2521"/>
    </row>
    <row r="32" spans="2:23" x14ac:dyDescent="0.25">
      <c r="B32" s="4"/>
      <c r="C32" s="418" t="s">
        <v>597</v>
      </c>
      <c r="D32" s="1315"/>
      <c r="E32" s="1315"/>
      <c r="F32" s="1315"/>
      <c r="G32" s="1315"/>
      <c r="H32" s="1315"/>
      <c r="I32" s="1315"/>
      <c r="J32" s="1315"/>
      <c r="K32" s="1315"/>
      <c r="L32" s="1315"/>
      <c r="M32" s="1315"/>
      <c r="N32"/>
      <c r="O32" s="1315"/>
      <c r="P32" s="1561"/>
    </row>
    <row r="33" spans="2:19" ht="7.5" customHeight="1" thickBot="1" x14ac:dyDescent="0.3">
      <c r="B33" s="4"/>
      <c r="C33" s="1899"/>
      <c r="D33" s="133"/>
      <c r="E33" s="130"/>
      <c r="F33" s="130"/>
      <c r="G33" s="130"/>
      <c r="H33" s="130"/>
      <c r="I33" s="130"/>
      <c r="J33" s="130"/>
      <c r="K33" s="130"/>
      <c r="L33" s="130"/>
      <c r="M33" s="130"/>
      <c r="N33" s="130"/>
      <c r="O33" s="1389"/>
      <c r="P33" s="1900"/>
    </row>
    <row r="34" spans="2:19" ht="30.75" thickBot="1" x14ac:dyDescent="0.3">
      <c r="B34" s="4"/>
      <c r="C34" s="1901" t="s">
        <v>36</v>
      </c>
      <c r="D34" s="1902" t="s">
        <v>37</v>
      </c>
      <c r="E34" s="1903" t="s">
        <v>38</v>
      </c>
      <c r="F34" s="1903" t="s">
        <v>39</v>
      </c>
      <c r="G34" s="1903" t="s">
        <v>572</v>
      </c>
      <c r="H34" s="1903" t="s">
        <v>573</v>
      </c>
      <c r="I34" s="1904" t="s">
        <v>574</v>
      </c>
      <c r="J34" s="1904" t="s">
        <v>575</v>
      </c>
      <c r="K34" s="1905" t="s">
        <v>576</v>
      </c>
      <c r="L34" s="1906" t="s">
        <v>601</v>
      </c>
      <c r="M34" s="1389"/>
      <c r="N34" s="1389"/>
      <c r="O34" s="1389"/>
      <c r="P34" s="1907"/>
    </row>
    <row r="35" spans="2:19" x14ac:dyDescent="0.25">
      <c r="B35" s="4"/>
      <c r="C35" s="1908">
        <v>0.25</v>
      </c>
      <c r="D35" s="1909">
        <f t="shared" ref="D35:K44" si="5">SUMIFS($D$13:$D$30,$C$13:$C$30,$C35,$E$13:$E$30,D$34)</f>
        <v>0</v>
      </c>
      <c r="E35" s="1910">
        <f t="shared" si="5"/>
        <v>0</v>
      </c>
      <c r="F35" s="1910">
        <f t="shared" si="5"/>
        <v>0</v>
      </c>
      <c r="G35" s="1910">
        <f t="shared" si="5"/>
        <v>0</v>
      </c>
      <c r="H35" s="1910">
        <f t="shared" si="5"/>
        <v>0</v>
      </c>
      <c r="I35" s="1910">
        <f t="shared" si="5"/>
        <v>0</v>
      </c>
      <c r="J35" s="1910">
        <f t="shared" si="5"/>
        <v>0</v>
      </c>
      <c r="K35" s="1911">
        <f t="shared" si="5"/>
        <v>0</v>
      </c>
      <c r="L35" s="2201">
        <f>SUM(D35:K35)</f>
        <v>0</v>
      </c>
      <c r="M35" s="1389"/>
      <c r="N35" s="1389"/>
      <c r="O35" s="1389"/>
      <c r="P35" s="1907"/>
    </row>
    <row r="36" spans="2:19" x14ac:dyDescent="0.25">
      <c r="B36" s="4"/>
      <c r="C36" s="1912">
        <v>0.3</v>
      </c>
      <c r="D36" s="1913">
        <f t="shared" si="5"/>
        <v>0</v>
      </c>
      <c r="E36" s="1914">
        <f t="shared" si="5"/>
        <v>0</v>
      </c>
      <c r="F36" s="1914">
        <f t="shared" si="5"/>
        <v>0</v>
      </c>
      <c r="G36" s="1914">
        <f t="shared" si="5"/>
        <v>0</v>
      </c>
      <c r="H36" s="1914">
        <f t="shared" si="5"/>
        <v>0</v>
      </c>
      <c r="I36" s="1914">
        <f t="shared" si="5"/>
        <v>0</v>
      </c>
      <c r="J36" s="1914">
        <f t="shared" si="5"/>
        <v>0</v>
      </c>
      <c r="K36" s="1915">
        <f t="shared" si="5"/>
        <v>0</v>
      </c>
      <c r="L36" s="1916">
        <f t="shared" ref="L36:L44" si="6">SUM(D36:K36)</f>
        <v>0</v>
      </c>
      <c r="M36" s="1389"/>
      <c r="N36" s="1389"/>
      <c r="O36" s="1389"/>
      <c r="P36" s="1907"/>
      <c r="S36" s="2161"/>
    </row>
    <row r="37" spans="2:19" x14ac:dyDescent="0.25">
      <c r="B37" s="4"/>
      <c r="C37" s="1912">
        <v>0.35</v>
      </c>
      <c r="D37" s="1913">
        <f t="shared" si="5"/>
        <v>0</v>
      </c>
      <c r="E37" s="1914">
        <f t="shared" si="5"/>
        <v>0</v>
      </c>
      <c r="F37" s="1914">
        <f t="shared" si="5"/>
        <v>0</v>
      </c>
      <c r="G37" s="1914">
        <f t="shared" si="5"/>
        <v>0</v>
      </c>
      <c r="H37" s="1914">
        <f t="shared" si="5"/>
        <v>0</v>
      </c>
      <c r="I37" s="1914">
        <f t="shared" si="5"/>
        <v>0</v>
      </c>
      <c r="J37" s="1914">
        <f t="shared" si="5"/>
        <v>0</v>
      </c>
      <c r="K37" s="1915">
        <f t="shared" si="5"/>
        <v>0</v>
      </c>
      <c r="L37" s="1916">
        <f t="shared" si="6"/>
        <v>0</v>
      </c>
      <c r="M37" s="1389"/>
      <c r="N37" s="1389"/>
      <c r="O37" s="1389"/>
      <c r="P37" s="1907"/>
    </row>
    <row r="38" spans="2:19" x14ac:dyDescent="0.25">
      <c r="B38" s="4"/>
      <c r="C38" s="1912">
        <v>0.4</v>
      </c>
      <c r="D38" s="1913">
        <f t="shared" si="5"/>
        <v>0</v>
      </c>
      <c r="E38" s="1914">
        <f t="shared" si="5"/>
        <v>0</v>
      </c>
      <c r="F38" s="1914">
        <f t="shared" si="5"/>
        <v>0</v>
      </c>
      <c r="G38" s="1914">
        <f t="shared" si="5"/>
        <v>0</v>
      </c>
      <c r="H38" s="1914">
        <f t="shared" si="5"/>
        <v>0</v>
      </c>
      <c r="I38" s="1914">
        <f t="shared" si="5"/>
        <v>0</v>
      </c>
      <c r="J38" s="1914">
        <f t="shared" si="5"/>
        <v>0</v>
      </c>
      <c r="K38" s="1915">
        <f t="shared" si="5"/>
        <v>0</v>
      </c>
      <c r="L38" s="1916">
        <f t="shared" si="6"/>
        <v>0</v>
      </c>
      <c r="M38" s="1389"/>
      <c r="N38" s="1389"/>
      <c r="O38" s="1389"/>
      <c r="P38" s="1907"/>
    </row>
    <row r="39" spans="2:19" x14ac:dyDescent="0.25">
      <c r="B39" s="4"/>
      <c r="C39" s="1912">
        <v>0.45</v>
      </c>
      <c r="D39" s="1913">
        <f t="shared" si="5"/>
        <v>0</v>
      </c>
      <c r="E39" s="1914">
        <f t="shared" si="5"/>
        <v>0</v>
      </c>
      <c r="F39" s="1914">
        <f t="shared" si="5"/>
        <v>0</v>
      </c>
      <c r="G39" s="1914">
        <f t="shared" si="5"/>
        <v>0</v>
      </c>
      <c r="H39" s="1914">
        <f t="shared" si="5"/>
        <v>0</v>
      </c>
      <c r="I39" s="1914">
        <f t="shared" si="5"/>
        <v>0</v>
      </c>
      <c r="J39" s="1914">
        <f t="shared" si="5"/>
        <v>0</v>
      </c>
      <c r="K39" s="1915">
        <f t="shared" si="5"/>
        <v>0</v>
      </c>
      <c r="L39" s="1916">
        <f t="shared" si="6"/>
        <v>0</v>
      </c>
      <c r="M39" s="1389"/>
      <c r="N39" s="1389"/>
      <c r="O39" s="1389"/>
      <c r="P39" s="1907"/>
    </row>
    <row r="40" spans="2:19" x14ac:dyDescent="0.25">
      <c r="B40" s="4"/>
      <c r="C40" s="1912">
        <v>0.5</v>
      </c>
      <c r="D40" s="1913">
        <f t="shared" si="5"/>
        <v>0</v>
      </c>
      <c r="E40" s="1914">
        <f t="shared" si="5"/>
        <v>0</v>
      </c>
      <c r="F40" s="1914">
        <f t="shared" si="5"/>
        <v>0</v>
      </c>
      <c r="G40" s="1914">
        <f t="shared" si="5"/>
        <v>0</v>
      </c>
      <c r="H40" s="1914">
        <f t="shared" si="5"/>
        <v>0</v>
      </c>
      <c r="I40" s="1914">
        <f t="shared" si="5"/>
        <v>0</v>
      </c>
      <c r="J40" s="1914">
        <f t="shared" si="5"/>
        <v>0</v>
      </c>
      <c r="K40" s="1915">
        <f t="shared" si="5"/>
        <v>0</v>
      </c>
      <c r="L40" s="1916">
        <f t="shared" si="6"/>
        <v>0</v>
      </c>
      <c r="M40" s="1389"/>
      <c r="N40" s="1389"/>
      <c r="O40" s="1389"/>
      <c r="P40" s="1907"/>
    </row>
    <row r="41" spans="2:19" x14ac:dyDescent="0.25">
      <c r="B41" s="4"/>
      <c r="C41" s="1912">
        <v>0.55000000000000004</v>
      </c>
      <c r="D41" s="1913">
        <f t="shared" si="5"/>
        <v>0</v>
      </c>
      <c r="E41" s="1914">
        <f t="shared" si="5"/>
        <v>0</v>
      </c>
      <c r="F41" s="1914">
        <f t="shared" si="5"/>
        <v>0</v>
      </c>
      <c r="G41" s="1914">
        <f t="shared" si="5"/>
        <v>0</v>
      </c>
      <c r="H41" s="1914">
        <f t="shared" si="5"/>
        <v>0</v>
      </c>
      <c r="I41" s="1914">
        <f t="shared" si="5"/>
        <v>0</v>
      </c>
      <c r="J41" s="1914">
        <f t="shared" si="5"/>
        <v>0</v>
      </c>
      <c r="K41" s="1915">
        <f t="shared" si="5"/>
        <v>0</v>
      </c>
      <c r="L41" s="1916">
        <f t="shared" si="6"/>
        <v>0</v>
      </c>
      <c r="M41" s="1389"/>
      <c r="N41" s="1389"/>
      <c r="O41" s="1389"/>
      <c r="P41" s="1907"/>
    </row>
    <row r="42" spans="2:19" x14ac:dyDescent="0.25">
      <c r="B42" s="4"/>
      <c r="C42" s="1912">
        <v>0.6</v>
      </c>
      <c r="D42" s="1913">
        <f t="shared" si="5"/>
        <v>0</v>
      </c>
      <c r="E42" s="1914">
        <f t="shared" si="5"/>
        <v>0</v>
      </c>
      <c r="F42" s="1914">
        <f t="shared" si="5"/>
        <v>0</v>
      </c>
      <c r="G42" s="1914">
        <f t="shared" si="5"/>
        <v>0</v>
      </c>
      <c r="H42" s="1914">
        <f t="shared" si="5"/>
        <v>0</v>
      </c>
      <c r="I42" s="1914">
        <f t="shared" si="5"/>
        <v>0</v>
      </c>
      <c r="J42" s="1914">
        <f t="shared" si="5"/>
        <v>0</v>
      </c>
      <c r="K42" s="1915">
        <f t="shared" si="5"/>
        <v>0</v>
      </c>
      <c r="L42" s="1916">
        <f t="shared" si="6"/>
        <v>0</v>
      </c>
      <c r="M42" s="1389"/>
      <c r="N42" s="1389"/>
      <c r="O42" s="1389"/>
      <c r="P42" s="1907"/>
    </row>
    <row r="43" spans="2:19" x14ac:dyDescent="0.25">
      <c r="B43" s="4"/>
      <c r="C43" s="1912">
        <v>0.65</v>
      </c>
      <c r="D43" s="1913">
        <f t="shared" si="5"/>
        <v>0</v>
      </c>
      <c r="E43" s="1914">
        <f t="shared" si="5"/>
        <v>0</v>
      </c>
      <c r="F43" s="1914">
        <f t="shared" si="5"/>
        <v>0</v>
      </c>
      <c r="G43" s="1914">
        <f t="shared" si="5"/>
        <v>0</v>
      </c>
      <c r="H43" s="1914">
        <f t="shared" si="5"/>
        <v>0</v>
      </c>
      <c r="I43" s="1914">
        <f t="shared" si="5"/>
        <v>0</v>
      </c>
      <c r="J43" s="1914">
        <f t="shared" si="5"/>
        <v>0</v>
      </c>
      <c r="K43" s="1915">
        <f t="shared" si="5"/>
        <v>0</v>
      </c>
      <c r="L43" s="1916">
        <f t="shared" si="6"/>
        <v>0</v>
      </c>
      <c r="M43" s="1389"/>
      <c r="N43" s="1389"/>
      <c r="O43" s="1389"/>
      <c r="P43" s="1907"/>
    </row>
    <row r="44" spans="2:19" x14ac:dyDescent="0.25">
      <c r="B44" s="4"/>
      <c r="C44" s="1917">
        <v>0.8</v>
      </c>
      <c r="D44" s="1918">
        <f t="shared" si="5"/>
        <v>0</v>
      </c>
      <c r="E44" s="1919">
        <f t="shared" si="5"/>
        <v>0</v>
      </c>
      <c r="F44" s="1919">
        <f t="shared" si="5"/>
        <v>0</v>
      </c>
      <c r="G44" s="1919">
        <f t="shared" si="5"/>
        <v>0</v>
      </c>
      <c r="H44" s="1919">
        <f t="shared" si="5"/>
        <v>0</v>
      </c>
      <c r="I44" s="1919">
        <f t="shared" si="5"/>
        <v>0</v>
      </c>
      <c r="J44" s="1919">
        <f t="shared" si="5"/>
        <v>0</v>
      </c>
      <c r="K44" s="1920">
        <f t="shared" si="5"/>
        <v>0</v>
      </c>
      <c r="L44" s="1921">
        <f t="shared" si="6"/>
        <v>0</v>
      </c>
      <c r="M44" s="1389"/>
      <c r="N44" s="1389"/>
      <c r="O44" s="1389"/>
      <c r="P44" s="1907"/>
    </row>
    <row r="45" spans="2:19" ht="25.5" x14ac:dyDescent="0.25">
      <c r="B45" s="4"/>
      <c r="C45" s="1922" t="s">
        <v>41</v>
      </c>
      <c r="D45" s="1923">
        <f>SUM(D35:D44)</f>
        <v>0</v>
      </c>
      <c r="E45" s="1923">
        <f>SUM(E35:E44)</f>
        <v>0</v>
      </c>
      <c r="F45" s="1923">
        <f t="shared" ref="F45:K45" si="7">SUM(F35:F44)</f>
        <v>0</v>
      </c>
      <c r="G45" s="1923">
        <f t="shared" si="7"/>
        <v>0</v>
      </c>
      <c r="H45" s="1923">
        <f t="shared" si="7"/>
        <v>0</v>
      </c>
      <c r="I45" s="1923">
        <f t="shared" si="7"/>
        <v>0</v>
      </c>
      <c r="J45" s="1924">
        <f t="shared" si="7"/>
        <v>0</v>
      </c>
      <c r="K45" s="1924">
        <f t="shared" si="7"/>
        <v>0</v>
      </c>
      <c r="L45" s="1925">
        <f>SUM(L35:L44)</f>
        <v>0</v>
      </c>
      <c r="M45" s="1389"/>
      <c r="N45" s="1389"/>
      <c r="O45" s="1389"/>
      <c r="P45" s="1907"/>
    </row>
    <row r="46" spans="2:19" x14ac:dyDescent="0.25">
      <c r="B46" s="4"/>
      <c r="C46" s="1926" t="s">
        <v>600</v>
      </c>
      <c r="D46" s="1927">
        <f t="shared" ref="D46:K47" si="8">SUMIFS($D$13:$D$30,$C$13:$C$30,$C46,$E$13:$E$30,D$34)</f>
        <v>0</v>
      </c>
      <c r="E46" s="1928">
        <f t="shared" si="8"/>
        <v>0</v>
      </c>
      <c r="F46" s="1928">
        <f t="shared" si="8"/>
        <v>0</v>
      </c>
      <c r="G46" s="1928">
        <f t="shared" si="8"/>
        <v>0</v>
      </c>
      <c r="H46" s="1928">
        <f t="shared" si="8"/>
        <v>0</v>
      </c>
      <c r="I46" s="1928">
        <f t="shared" si="8"/>
        <v>0</v>
      </c>
      <c r="J46" s="1928">
        <f t="shared" si="8"/>
        <v>0</v>
      </c>
      <c r="K46" s="1929">
        <f t="shared" si="8"/>
        <v>0</v>
      </c>
      <c r="L46" s="1930">
        <f>SUM(D46:K46)</f>
        <v>0</v>
      </c>
      <c r="M46" s="1389"/>
      <c r="N46" s="1389"/>
      <c r="O46" s="1389"/>
      <c r="P46" s="1907"/>
    </row>
    <row r="47" spans="2:19" ht="24.75" thickBot="1" x14ac:dyDescent="0.3">
      <c r="B47" s="4"/>
      <c r="C47" s="1931" t="s">
        <v>336</v>
      </c>
      <c r="D47" s="1932">
        <f t="shared" si="8"/>
        <v>0</v>
      </c>
      <c r="E47" s="1933">
        <f t="shared" si="8"/>
        <v>0</v>
      </c>
      <c r="F47" s="1933">
        <f t="shared" si="8"/>
        <v>0</v>
      </c>
      <c r="G47" s="1933">
        <f t="shared" si="8"/>
        <v>0</v>
      </c>
      <c r="H47" s="1933">
        <f t="shared" si="8"/>
        <v>0</v>
      </c>
      <c r="I47" s="1933">
        <f t="shared" si="8"/>
        <v>0</v>
      </c>
      <c r="J47" s="1933">
        <f t="shared" si="8"/>
        <v>0</v>
      </c>
      <c r="K47" s="1934">
        <f t="shared" si="8"/>
        <v>0</v>
      </c>
      <c r="L47" s="1935">
        <f>SUM(D47:K47)</f>
        <v>0</v>
      </c>
      <c r="M47" s="1389"/>
      <c r="N47" s="1389"/>
      <c r="O47" s="1389"/>
      <c r="P47" s="1907"/>
    </row>
    <row r="48" spans="2:19" ht="16.5" customHeight="1" thickTop="1" thickBot="1" x14ac:dyDescent="0.3">
      <c r="B48" s="4"/>
      <c r="C48" s="1936" t="s">
        <v>42</v>
      </c>
      <c r="D48" s="1937">
        <f t="shared" ref="D48:K48" si="9">D45+D46+D47</f>
        <v>0</v>
      </c>
      <c r="E48" s="1938">
        <f t="shared" si="9"/>
        <v>0</v>
      </c>
      <c r="F48" s="1939">
        <f t="shared" si="9"/>
        <v>0</v>
      </c>
      <c r="G48" s="1939">
        <f t="shared" si="9"/>
        <v>0</v>
      </c>
      <c r="H48" s="1939">
        <f t="shared" si="9"/>
        <v>0</v>
      </c>
      <c r="I48" s="1939">
        <f t="shared" si="9"/>
        <v>0</v>
      </c>
      <c r="J48" s="1940">
        <f t="shared" si="9"/>
        <v>0</v>
      </c>
      <c r="K48" s="1940">
        <f t="shared" si="9"/>
        <v>0</v>
      </c>
      <c r="L48" s="1941">
        <f>SUM(L45:L47)</f>
        <v>0</v>
      </c>
      <c r="M48" s="2520" t="str">
        <f>IF(L48&lt;&gt;'1'!F57,"WARNING: Total Units does not match Form 1","")</f>
        <v/>
      </c>
      <c r="N48" s="2520"/>
      <c r="O48" s="1389"/>
      <c r="P48" s="1907"/>
    </row>
    <row r="49" spans="2:16" ht="7.5" customHeight="1" thickTop="1" thickBot="1" x14ac:dyDescent="0.3">
      <c r="B49" s="4"/>
      <c r="C49" s="1942"/>
      <c r="D49" s="1943"/>
      <c r="E49" s="1944"/>
      <c r="F49" s="1943"/>
      <c r="G49" s="1943"/>
      <c r="H49" s="1943"/>
      <c r="I49" s="1943"/>
      <c r="J49" s="1945"/>
      <c r="K49" s="1945"/>
      <c r="L49" s="1946"/>
      <c r="M49" s="2520"/>
      <c r="N49" s="2520"/>
      <c r="O49" s="1389"/>
      <c r="P49" s="1907"/>
    </row>
    <row r="50" spans="2:16" ht="25.5" x14ac:dyDescent="0.25">
      <c r="B50" s="4"/>
      <c r="C50" s="1947" t="s">
        <v>43</v>
      </c>
      <c r="D50" s="1948">
        <f>SUMIF('8A'!$E13:$E30,D34,'8A'!$F13:$F30)</f>
        <v>0</v>
      </c>
      <c r="E50" s="1949">
        <f>SUMIF('8A'!$E13:$E30,E34,'8A'!$F13:$F30)</f>
        <v>0</v>
      </c>
      <c r="F50" s="1949">
        <f>SUMIF('8A'!$E13:$E30,F34,'8A'!$F13:$F30)</f>
        <v>0</v>
      </c>
      <c r="G50" s="1949">
        <f>SUMIF('8A'!$E13:$E30,G34,'8A'!$F13:$F30)</f>
        <v>0</v>
      </c>
      <c r="H50" s="1949">
        <f>SUMIF('8A'!$E13:$E30,H34,'8A'!$F13:$F30)</f>
        <v>0</v>
      </c>
      <c r="I50" s="1949">
        <f>SUMIF('8A'!$E13:$E30,I34,'8A'!$F13:$F30)</f>
        <v>0</v>
      </c>
      <c r="J50" s="1949">
        <f>SUMIF('8A'!$E13:$E30,J34,'8A'!$F13:$F30)</f>
        <v>0</v>
      </c>
      <c r="K50" s="1950">
        <f>SUMIF('8A'!$E13:$E30,K34,'8A'!$F13:$F30)</f>
        <v>0</v>
      </c>
      <c r="L50" s="1951">
        <f>SUM(D50:K50)</f>
        <v>0</v>
      </c>
      <c r="M50" s="2520"/>
      <c r="N50" s="2520"/>
      <c r="O50" s="1389"/>
      <c r="P50" s="1907"/>
    </row>
    <row r="51" spans="2:16" ht="15.75" thickBot="1" x14ac:dyDescent="0.3">
      <c r="B51" s="4"/>
      <c r="C51" s="1952" t="s">
        <v>500</v>
      </c>
      <c r="D51" s="1953">
        <f>IFERROR(AVERAGEIF('8A'!$E13:$E30,D34,'8A'!$G13:$G30),0)</f>
        <v>0</v>
      </c>
      <c r="E51" s="1954">
        <f>IFERROR(AVERAGEIF('8A'!$E13:$E30,E34,'8A'!$G13:$G30),0)</f>
        <v>0</v>
      </c>
      <c r="F51" s="1954">
        <f>IFERROR(AVERAGEIF('8A'!$E13:$E30,F34,'8A'!$G13:$G30),0)</f>
        <v>0</v>
      </c>
      <c r="G51" s="1954">
        <f>IFERROR(AVERAGEIF('8A'!$E13:$E30,G34,'8A'!$G13:$G30),0)</f>
        <v>0</v>
      </c>
      <c r="H51" s="1954">
        <f>IFERROR(AVERAGEIF('8A'!$E13:$E30,H34,'8A'!$G13:$G30),0)</f>
        <v>0</v>
      </c>
      <c r="I51" s="1954">
        <f>IFERROR(AVERAGEIF('8A'!$E13:$E30,I34,'8A'!$G13:$G30),0)</f>
        <v>0</v>
      </c>
      <c r="J51" s="1954">
        <f>IFERROR(AVERAGEIF('8A'!$E13:$E30,J34,'8A'!$G13:$G30),0)</f>
        <v>0</v>
      </c>
      <c r="K51" s="1955">
        <f>IFERROR(AVERAGEIF('8A'!$E13:$E30,K34,'8A'!$G13:$G30),0)</f>
        <v>0</v>
      </c>
      <c r="L51" s="1956"/>
      <c r="M51" s="1389"/>
      <c r="N51" s="1389"/>
      <c r="O51" s="1389"/>
      <c r="P51" s="1907"/>
    </row>
    <row r="52" spans="2:16" ht="7.5" customHeight="1" thickBot="1" x14ac:dyDescent="0.3">
      <c r="B52" s="4"/>
      <c r="C52" s="130"/>
      <c r="D52" s="130"/>
      <c r="E52" s="130"/>
      <c r="F52" s="130"/>
      <c r="G52" s="130"/>
      <c r="H52" s="130"/>
      <c r="I52" s="130"/>
      <c r="J52" s="130"/>
      <c r="K52" s="130"/>
      <c r="L52" s="130"/>
      <c r="M52" s="130"/>
      <c r="N52" s="130"/>
      <c r="O52" s="143"/>
      <c r="P52" s="1907"/>
    </row>
    <row r="53" spans="2:16" x14ac:dyDescent="0.25">
      <c r="B53" s="1742"/>
      <c r="C53" s="1742"/>
      <c r="D53" s="1742"/>
      <c r="E53" s="1742"/>
      <c r="F53" s="1742"/>
      <c r="G53" s="1742"/>
      <c r="H53" s="1742"/>
      <c r="I53" s="1742"/>
      <c r="J53" s="1742"/>
      <c r="K53" s="1742"/>
      <c r="L53" s="1742"/>
      <c r="M53" s="1742"/>
      <c r="N53" s="1742"/>
      <c r="O53" s="1742"/>
      <c r="P53" s="1742"/>
    </row>
    <row r="54" spans="2:16" x14ac:dyDescent="0.25">
      <c r="B54" s="1723"/>
      <c r="C54" s="1723"/>
      <c r="D54" s="1723"/>
      <c r="E54" s="1723"/>
      <c r="F54" s="1723"/>
      <c r="G54" s="1723"/>
      <c r="H54" s="1723"/>
      <c r="I54" s="1723"/>
      <c r="J54" s="1723"/>
      <c r="K54" s="1723"/>
      <c r="L54" s="1723"/>
      <c r="M54" s="1723"/>
      <c r="N54" s="1723"/>
      <c r="O54" s="1723"/>
      <c r="P54" s="1723"/>
    </row>
  </sheetData>
  <sheetProtection algorithmName="SHA-512" hashValue="DAE9qqGEFieR/+oEdMX0YgOdKry1XZDamZBGzTeMtU7uYJmDpWg2DB1eBjA2ToxHgMTpHtRZWO1IfQwFrScYwQ==" saltValue="XcekTs+K6hypd8iKJ2Pt1w==" spinCount="100000" sheet="1" formatCells="0" formatColumns="0" formatRows="0" insertRows="0"/>
  <mergeCells count="6">
    <mergeCell ref="C9:O9"/>
    <mergeCell ref="C11:N11"/>
    <mergeCell ref="M48:N50"/>
    <mergeCell ref="R16:T18"/>
    <mergeCell ref="U29:W31"/>
    <mergeCell ref="R29:T31"/>
  </mergeCells>
  <conditionalFormatting sqref="H28:O29">
    <cfRule type="expression" dxfId="37" priority="16">
      <formula>$C28="CAUs / Managers"</formula>
    </cfRule>
  </conditionalFormatting>
  <conditionalFormatting sqref="G31:K31">
    <cfRule type="expression" dxfId="36" priority="14">
      <formula>$G$31="CAUTION - LIH Square footage does not match Form 2B"</formula>
    </cfRule>
  </conditionalFormatting>
  <conditionalFormatting sqref="E14">
    <cfRule type="expression" dxfId="35" priority="12">
      <formula>(AND($D14&lt;&gt;0,$E14=""))</formula>
    </cfRule>
  </conditionalFormatting>
  <conditionalFormatting sqref="E15:E26">
    <cfRule type="expression" dxfId="34" priority="11">
      <formula>(AND($D15&lt;&gt;0,$E15=""))</formula>
    </cfRule>
  </conditionalFormatting>
  <conditionalFormatting sqref="G14">
    <cfRule type="expression" dxfId="33" priority="10">
      <formula>(AND($D14&lt;&gt;0,$G14=""))</formula>
    </cfRule>
  </conditionalFormatting>
  <conditionalFormatting sqref="R16:T18">
    <cfRule type="containsText" dxfId="32" priority="9" operator="containsText" text="Warning">
      <formula>NOT(ISERROR(SEARCH("Warning",R16)))</formula>
    </cfRule>
  </conditionalFormatting>
  <conditionalFormatting sqref="R29:T31">
    <cfRule type="containsText" dxfId="31" priority="8" operator="containsText" text="Warning">
      <formula>NOT(ISERROR(SEARCH("Warning",R29)))</formula>
    </cfRule>
  </conditionalFormatting>
  <conditionalFormatting sqref="U29:W31">
    <cfRule type="containsText" dxfId="30" priority="7" operator="containsText" text="Warning">
      <formula>NOT(ISERROR(SEARCH("Warning",U29)))</formula>
    </cfRule>
  </conditionalFormatting>
  <conditionalFormatting sqref="E28">
    <cfRule type="expression" dxfId="29" priority="6">
      <formula>(AND($D28&lt;&gt;0,$E28=""))</formula>
    </cfRule>
  </conditionalFormatting>
  <conditionalFormatting sqref="E29">
    <cfRule type="expression" dxfId="28" priority="5">
      <formula>(AND($D29&lt;&gt;0,$E29=""))</formula>
    </cfRule>
  </conditionalFormatting>
  <conditionalFormatting sqref="G15:G26">
    <cfRule type="expression" dxfId="27" priority="4">
      <formula>(AND($D15&lt;&gt;0,$G15=""))</formula>
    </cfRule>
  </conditionalFormatting>
  <conditionalFormatting sqref="G29">
    <cfRule type="expression" dxfId="26" priority="3">
      <formula>(AND($D29&lt;&gt;0,$G29=""))</formula>
    </cfRule>
  </conditionalFormatting>
  <conditionalFormatting sqref="G28">
    <cfRule type="expression" dxfId="25" priority="2">
      <formula>(AND($D28&lt;&gt;0,$G28=""))</formula>
    </cfRule>
  </conditionalFormatting>
  <conditionalFormatting sqref="M48:N50">
    <cfRule type="containsText" dxfId="24" priority="1" operator="containsText" text="Warning">
      <formula>NOT(ISERROR(SEARCH("Warning",M48)))</formula>
    </cfRule>
  </conditionalFormatting>
  <dataValidations count="3">
    <dataValidation type="list" allowBlank="1" showInputMessage="1" showErrorMessage="1" sqref="C28:C29" xr:uid="{00000000-0002-0000-1900-000000000000}">
      <formula1>Non_LIH_Units</formula1>
    </dataValidation>
    <dataValidation type="list" allowBlank="1" showInputMessage="1" showErrorMessage="1" sqref="E28:E29 E14:E26" xr:uid="{00000000-0002-0000-1900-000001000000}">
      <formula1>Units_and_Beds</formula1>
    </dataValidation>
    <dataValidation type="list" allowBlank="1" showInputMessage="1" showErrorMessage="1" sqref="C14:C26" xr:uid="{00000000-0002-0000-1900-000002000000}">
      <formula1>AMIs</formula1>
    </dataValidation>
  </dataValidations>
  <pageMargins left="0.25" right="0.25" top="0.75" bottom="0.75" header="0.3" footer="0.3"/>
  <pageSetup scale="92" fitToHeight="2" orientation="landscape" r:id="rId1"/>
  <headerFooter>
    <oddFooter>&amp;LForm 8A
Proposed Rents and AMIs Served&amp;CCFA Forms</oddFooter>
  </headerFooter>
  <rowBreaks count="1" manualBreakCount="1">
    <brk id="31" min="1" max="1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9:J40"/>
  <sheetViews>
    <sheetView showGridLines="0" topLeftCell="A16" zoomScaleNormal="100" workbookViewId="0">
      <selection activeCell="H33" sqref="H33:H34"/>
    </sheetView>
  </sheetViews>
  <sheetFormatPr defaultColWidth="9.140625" defaultRowHeight="15" x14ac:dyDescent="0.25"/>
  <cols>
    <col min="1" max="2" width="1.7109375" style="396" customWidth="1"/>
    <col min="3" max="3" width="52" style="396" customWidth="1"/>
    <col min="4" max="6" width="17.140625" style="396" customWidth="1"/>
    <col min="7" max="9" width="20" style="396" customWidth="1"/>
    <col min="10" max="10" width="1.7109375" style="396" customWidth="1"/>
    <col min="11" max="16384" width="9.140625" style="396"/>
  </cols>
  <sheetData>
    <row r="9" spans="2:10" ht="9" customHeight="1" thickBot="1" x14ac:dyDescent="0.3"/>
    <row r="10" spans="2:10" ht="9" customHeight="1" x14ac:dyDescent="0.3">
      <c r="B10" s="591"/>
      <c r="C10" s="592"/>
      <c r="D10" s="592"/>
      <c r="E10" s="592"/>
      <c r="F10" s="592"/>
      <c r="G10" s="592"/>
      <c r="H10" s="592"/>
      <c r="I10" s="592"/>
      <c r="J10" s="593"/>
    </row>
    <row r="11" spans="2:10" ht="18.75" x14ac:dyDescent="0.3">
      <c r="B11" s="594"/>
      <c r="C11" s="2421" t="s">
        <v>543</v>
      </c>
      <c r="D11" s="2421"/>
      <c r="E11" s="2421"/>
      <c r="F11" s="2421"/>
      <c r="G11" s="2421"/>
      <c r="H11" s="2102"/>
      <c r="I11" s="2102"/>
      <c r="J11" s="558"/>
    </row>
    <row r="12" spans="2:10" ht="18.75" x14ac:dyDescent="0.3">
      <c r="B12" s="594"/>
      <c r="C12" s="1844"/>
      <c r="D12" s="1844"/>
      <c r="E12" s="1844"/>
      <c r="F12" s="1844"/>
      <c r="G12" s="1844"/>
      <c r="H12" s="2101"/>
      <c r="I12" s="2101"/>
      <c r="J12" s="558"/>
    </row>
    <row r="13" spans="2:10" ht="15.75" thickBot="1" x14ac:dyDescent="0.3">
      <c r="B13" s="201"/>
      <c r="C13" s="2530" t="str">
        <f>IF('1'!G5="","Enter Project Name on Form 1",(CONCATENATE("Project Name: ",'1'!G5)))</f>
        <v>Enter Project Name on Form 1</v>
      </c>
      <c r="D13" s="2530"/>
      <c r="E13" s="2530"/>
      <c r="F13" s="2530"/>
      <c r="G13" s="422"/>
      <c r="H13" s="422"/>
      <c r="I13" s="422"/>
      <c r="J13" s="200"/>
    </row>
    <row r="14" spans="2:10" x14ac:dyDescent="0.25">
      <c r="B14" s="201"/>
      <c r="C14" s="379"/>
      <c r="D14" s="422"/>
      <c r="E14" s="422"/>
      <c r="F14" s="422"/>
      <c r="G14" s="422"/>
      <c r="H14" s="422"/>
      <c r="I14" s="422"/>
      <c r="J14" s="200"/>
    </row>
    <row r="15" spans="2:10" ht="15.75" thickBot="1" x14ac:dyDescent="0.3">
      <c r="B15" s="201"/>
      <c r="C15" s="595" t="s">
        <v>1441</v>
      </c>
      <c r="D15" s="422"/>
      <c r="E15" s="422"/>
      <c r="F15" s="422"/>
      <c r="G15" s="422"/>
      <c r="H15" s="422"/>
      <c r="I15" s="422"/>
      <c r="J15" s="200"/>
    </row>
    <row r="16" spans="2:10" ht="27" thickBot="1" x14ac:dyDescent="0.3">
      <c r="B16" s="201"/>
      <c r="C16" s="1574" t="s">
        <v>298</v>
      </c>
      <c r="D16" s="1131" t="s">
        <v>337</v>
      </c>
      <c r="E16" s="1131" t="s">
        <v>338</v>
      </c>
      <c r="F16" s="1131" t="s">
        <v>339</v>
      </c>
      <c r="G16" s="1575" t="s">
        <v>340</v>
      </c>
      <c r="H16" s="2106" t="s">
        <v>1760</v>
      </c>
      <c r="I16" s="2105" t="s">
        <v>1761</v>
      </c>
      <c r="J16" s="200"/>
    </row>
    <row r="17" spans="2:10" x14ac:dyDescent="0.25">
      <c r="B17" s="201"/>
      <c r="C17" s="1130"/>
      <c r="D17" s="1231">
        <v>0</v>
      </c>
      <c r="E17" s="1231">
        <v>0</v>
      </c>
      <c r="F17" s="1576">
        <f>SUM(D17:E17)</f>
        <v>0</v>
      </c>
      <c r="G17" s="1714"/>
      <c r="H17" s="1233"/>
      <c r="I17" s="1719"/>
      <c r="J17" s="200"/>
    </row>
    <row r="18" spans="2:10" x14ac:dyDescent="0.25">
      <c r="B18" s="201"/>
      <c r="C18" s="1065"/>
      <c r="D18" s="1232">
        <v>0</v>
      </c>
      <c r="E18" s="1232">
        <v>0</v>
      </c>
      <c r="F18" s="1577">
        <f>SUM(D18:E18)</f>
        <v>0</v>
      </c>
      <c r="G18" s="1715"/>
      <c r="H18" s="1232"/>
      <c r="I18" s="1719"/>
      <c r="J18" s="200"/>
    </row>
    <row r="19" spans="2:10" x14ac:dyDescent="0.25">
      <c r="B19" s="201"/>
      <c r="C19" s="1065"/>
      <c r="D19" s="1232">
        <v>0</v>
      </c>
      <c r="E19" s="1232">
        <v>0</v>
      </c>
      <c r="F19" s="1577">
        <f>SUM(D19:E19)</f>
        <v>0</v>
      </c>
      <c r="G19" s="1715"/>
      <c r="H19" s="1234"/>
      <c r="I19" s="1715"/>
      <c r="J19" s="200"/>
    </row>
    <row r="20" spans="2:10" ht="15.75" thickBot="1" x14ac:dyDescent="0.3">
      <c r="B20" s="201"/>
      <c r="C20" s="1065"/>
      <c r="D20" s="1232">
        <v>0</v>
      </c>
      <c r="E20" s="1232">
        <v>0</v>
      </c>
      <c r="F20" s="1577">
        <f>SUM(D20:E20)</f>
        <v>0</v>
      </c>
      <c r="G20" s="1715"/>
      <c r="H20" s="1234"/>
      <c r="I20" s="1720"/>
      <c r="J20" s="200"/>
    </row>
    <row r="21" spans="2:10" ht="16.5" thickTop="1" thickBot="1" x14ac:dyDescent="0.3">
      <c r="B21" s="201"/>
      <c r="C21" s="1067" t="s">
        <v>1447</v>
      </c>
      <c r="D21" s="1237">
        <f>SUM(D17:D20)</f>
        <v>0</v>
      </c>
      <c r="E21" s="1237">
        <f>SUM(E17:E20)</f>
        <v>0</v>
      </c>
      <c r="F21" s="1238">
        <f>SUM(D21:E21)</f>
        <v>0</v>
      </c>
      <c r="G21" s="1068"/>
      <c r="H21" s="2104"/>
      <c r="I21" s="1583"/>
      <c r="J21" s="200"/>
    </row>
    <row r="22" spans="2:10" x14ac:dyDescent="0.25">
      <c r="B22" s="201"/>
      <c r="C22" s="379"/>
      <c r="D22" s="422"/>
      <c r="E22" s="422"/>
      <c r="F22" s="202" t="s">
        <v>34</v>
      </c>
      <c r="G22" s="422"/>
      <c r="H22" s="422"/>
      <c r="I22" s="422"/>
      <c r="J22" s="200"/>
    </row>
    <row r="23" spans="2:10" ht="15.75" thickBot="1" x14ac:dyDescent="0.3">
      <c r="B23" s="201"/>
      <c r="C23" s="595" t="s">
        <v>341</v>
      </c>
      <c r="D23" s="422"/>
      <c r="E23" s="422"/>
      <c r="F23" s="422"/>
      <c r="G23" s="422"/>
      <c r="H23" s="422"/>
      <c r="I23" s="422"/>
      <c r="J23" s="200"/>
    </row>
    <row r="24" spans="2:10" ht="15" customHeight="1" x14ac:dyDescent="0.25">
      <c r="B24" s="201"/>
      <c r="C24" s="2524" t="s">
        <v>298</v>
      </c>
      <c r="D24" s="2522" t="s">
        <v>337</v>
      </c>
      <c r="E24" s="2522" t="s">
        <v>338</v>
      </c>
      <c r="F24" s="2522" t="s">
        <v>339</v>
      </c>
      <c r="G24" s="2522" t="s">
        <v>340</v>
      </c>
      <c r="H24" s="2526" t="s">
        <v>1760</v>
      </c>
      <c r="I24" s="2528" t="s">
        <v>1761</v>
      </c>
      <c r="J24" s="200"/>
    </row>
    <row r="25" spans="2:10" ht="15.75" thickBot="1" x14ac:dyDescent="0.3">
      <c r="B25" s="201"/>
      <c r="C25" s="2525"/>
      <c r="D25" s="2523"/>
      <c r="E25" s="2523"/>
      <c r="F25" s="2523"/>
      <c r="G25" s="2523"/>
      <c r="H25" s="2527"/>
      <c r="I25" s="2529"/>
      <c r="J25" s="200"/>
    </row>
    <row r="26" spans="2:10" x14ac:dyDescent="0.25">
      <c r="B26" s="201"/>
      <c r="C26" s="1132"/>
      <c r="D26" s="1233">
        <v>0</v>
      </c>
      <c r="E26" s="1233">
        <v>0</v>
      </c>
      <c r="F26" s="1578">
        <f>SUM(D26+E26)</f>
        <v>0</v>
      </c>
      <c r="G26" s="1716"/>
      <c r="H26" s="1233"/>
      <c r="I26" s="1714"/>
      <c r="J26" s="200"/>
    </row>
    <row r="27" spans="2:10" x14ac:dyDescent="0.25">
      <c r="B27" s="201"/>
      <c r="C27" s="1133"/>
      <c r="D27" s="1232">
        <v>0</v>
      </c>
      <c r="E27" s="1232">
        <v>0</v>
      </c>
      <c r="F27" s="1577">
        <f>SUM(D27+E27)</f>
        <v>0</v>
      </c>
      <c r="G27" s="1717"/>
      <c r="H27" s="1232"/>
      <c r="I27" s="1719"/>
      <c r="J27" s="200"/>
    </row>
    <row r="28" spans="2:10" x14ac:dyDescent="0.25">
      <c r="B28" s="201"/>
      <c r="C28" s="1134"/>
      <c r="D28" s="1234">
        <v>0</v>
      </c>
      <c r="E28" s="1234">
        <v>0</v>
      </c>
      <c r="F28" s="1577">
        <f>SUM(D28+E28)</f>
        <v>0</v>
      </c>
      <c r="G28" s="1718"/>
      <c r="H28" s="1234"/>
      <c r="I28" s="1715"/>
      <c r="J28" s="200"/>
    </row>
    <row r="29" spans="2:10" ht="15.75" thickBot="1" x14ac:dyDescent="0.3">
      <c r="B29" s="201"/>
      <c r="C29" s="1134"/>
      <c r="D29" s="1234">
        <v>0</v>
      </c>
      <c r="E29" s="1234">
        <v>0</v>
      </c>
      <c r="F29" s="1579">
        <f>SUM(D29+E29)</f>
        <v>0</v>
      </c>
      <c r="G29" s="1718"/>
      <c r="H29" s="1234"/>
      <c r="I29" s="1720"/>
      <c r="J29" s="200"/>
    </row>
    <row r="30" spans="2:10" ht="16.5" thickTop="1" thickBot="1" x14ac:dyDescent="0.3">
      <c r="B30" s="201"/>
      <c r="C30" s="723" t="s">
        <v>1445</v>
      </c>
      <c r="D30" s="1235">
        <f>SUM(D26:D29)</f>
        <v>0</v>
      </c>
      <c r="E30" s="1235">
        <f>SUM(E26:E29)</f>
        <v>0</v>
      </c>
      <c r="F30" s="1236">
        <f>SUM(D30:E30)</f>
        <v>0</v>
      </c>
      <c r="G30" s="1580"/>
      <c r="H30" s="2104"/>
      <c r="I30" s="1583"/>
      <c r="J30" s="200"/>
    </row>
    <row r="31" spans="2:10" x14ac:dyDescent="0.25">
      <c r="B31" s="201"/>
      <c r="C31" s="379"/>
      <c r="D31" s="422"/>
      <c r="E31" s="422"/>
      <c r="F31" s="202"/>
      <c r="G31" s="422"/>
      <c r="H31" s="422"/>
      <c r="I31" s="422"/>
      <c r="J31" s="200"/>
    </row>
    <row r="32" spans="2:10" ht="15.75" thickBot="1" x14ac:dyDescent="0.3">
      <c r="B32" s="201"/>
      <c r="C32" s="595" t="s">
        <v>342</v>
      </c>
      <c r="D32" s="422"/>
      <c r="E32" s="422"/>
      <c r="F32" s="422"/>
      <c r="G32" s="422"/>
      <c r="H32" s="422"/>
      <c r="I32" s="422"/>
      <c r="J32" s="200"/>
    </row>
    <row r="33" spans="2:10" ht="15" customHeight="1" x14ac:dyDescent="0.25">
      <c r="B33" s="201"/>
      <c r="C33" s="2524" t="s">
        <v>298</v>
      </c>
      <c r="D33" s="2522" t="s">
        <v>337</v>
      </c>
      <c r="E33" s="2522" t="s">
        <v>338</v>
      </c>
      <c r="F33" s="2522" t="s">
        <v>339</v>
      </c>
      <c r="G33" s="2522" t="s">
        <v>340</v>
      </c>
      <c r="H33" s="2526" t="s">
        <v>1760</v>
      </c>
      <c r="I33" s="2528" t="s">
        <v>1761</v>
      </c>
      <c r="J33" s="200"/>
    </row>
    <row r="34" spans="2:10" ht="15.75" thickBot="1" x14ac:dyDescent="0.3">
      <c r="B34" s="201"/>
      <c r="C34" s="2532"/>
      <c r="D34" s="2531"/>
      <c r="E34" s="2531"/>
      <c r="F34" s="2523"/>
      <c r="G34" s="2531"/>
      <c r="H34" s="2527"/>
      <c r="I34" s="2529"/>
      <c r="J34" s="200"/>
    </row>
    <row r="35" spans="2:10" x14ac:dyDescent="0.25">
      <c r="B35" s="201"/>
      <c r="C35" s="1130"/>
      <c r="D35" s="1231">
        <v>0</v>
      </c>
      <c r="E35" s="1231">
        <v>0</v>
      </c>
      <c r="F35" s="1576">
        <f>SUM(D35:E35)</f>
        <v>0</v>
      </c>
      <c r="G35" s="1714"/>
      <c r="H35" s="1233"/>
      <c r="I35" s="1714"/>
      <c r="J35" s="200"/>
    </row>
    <row r="36" spans="2:10" x14ac:dyDescent="0.25">
      <c r="B36" s="201"/>
      <c r="C36" s="1710"/>
      <c r="D36" s="1233">
        <v>0</v>
      </c>
      <c r="E36" s="1233">
        <v>0</v>
      </c>
      <c r="F36" s="1577">
        <f>SUM(D36:E36)</f>
        <v>0</v>
      </c>
      <c r="G36" s="1719"/>
      <c r="H36" s="1232"/>
      <c r="I36" s="1719"/>
      <c r="J36" s="200"/>
    </row>
    <row r="37" spans="2:10" x14ac:dyDescent="0.25">
      <c r="B37" s="201"/>
      <c r="C37" s="1065"/>
      <c r="D37" s="1232">
        <v>0</v>
      </c>
      <c r="E37" s="1232">
        <v>0</v>
      </c>
      <c r="F37" s="1577">
        <f>SUM(D37:E37)</f>
        <v>0</v>
      </c>
      <c r="G37" s="1715"/>
      <c r="H37" s="1234"/>
      <c r="I37" s="1715"/>
      <c r="J37" s="200"/>
    </row>
    <row r="38" spans="2:10" ht="15.75" thickBot="1" x14ac:dyDescent="0.3">
      <c r="B38" s="1581"/>
      <c r="C38" s="1066"/>
      <c r="D38" s="1234">
        <v>0</v>
      </c>
      <c r="E38" s="1234">
        <v>0</v>
      </c>
      <c r="F38" s="1579">
        <f>SUM(D38:E38)</f>
        <v>0</v>
      </c>
      <c r="G38" s="1720"/>
      <c r="H38" s="1234"/>
      <c r="I38" s="1720"/>
      <c r="J38" s="1582"/>
    </row>
    <row r="39" spans="2:10" ht="16.5" thickTop="1" thickBot="1" x14ac:dyDescent="0.3">
      <c r="B39" s="1581"/>
      <c r="C39" s="723" t="s">
        <v>1446</v>
      </c>
      <c r="D39" s="1235">
        <f>SUM(D35:D38)</f>
        <v>0</v>
      </c>
      <c r="E39" s="1235">
        <f>SUM(E35:E38)</f>
        <v>0</v>
      </c>
      <c r="F39" s="1238">
        <f>SUM(D39:E39)</f>
        <v>0</v>
      </c>
      <c r="G39" s="1583"/>
      <c r="H39" s="2104"/>
      <c r="I39" s="1583"/>
      <c r="J39" s="1582"/>
    </row>
    <row r="40" spans="2:10" ht="15.75" thickBot="1" x14ac:dyDescent="0.3">
      <c r="B40" s="203"/>
      <c r="C40" s="204"/>
      <c r="D40" s="205"/>
      <c r="E40" s="205"/>
      <c r="F40" s="205"/>
      <c r="G40" s="205"/>
      <c r="H40" s="205"/>
      <c r="I40" s="205"/>
      <c r="J40" s="206"/>
    </row>
  </sheetData>
  <sheetProtection algorithmName="SHA-512" hashValue="gkHvAOX+QH2oPmv9ArdaN08S6mJYSwhuMWXixBZS9k/VpBgLP7RnkK8p1EKj2vtqTqygQJz4oknbos+5TmvP3Q==" saltValue="eylK7nlfsLiAzNlSGwejpg==" spinCount="100000" sheet="1" formatCells="0" formatColumns="0" formatRows="0" insertRows="0"/>
  <mergeCells count="16">
    <mergeCell ref="H33:H34"/>
    <mergeCell ref="I33:I34"/>
    <mergeCell ref="H24:H25"/>
    <mergeCell ref="I24:I25"/>
    <mergeCell ref="C13:F13"/>
    <mergeCell ref="G33:G34"/>
    <mergeCell ref="C33:C34"/>
    <mergeCell ref="D33:D34"/>
    <mergeCell ref="E33:E34"/>
    <mergeCell ref="F33:F34"/>
    <mergeCell ref="C11:G11"/>
    <mergeCell ref="F24:F25"/>
    <mergeCell ref="E24:E25"/>
    <mergeCell ref="D24:D25"/>
    <mergeCell ref="C24:C25"/>
    <mergeCell ref="G24:G25"/>
  </mergeCells>
  <pageMargins left="0.7" right="0.7" top="0.75" bottom="0.75" header="0.3" footer="0.3"/>
  <pageSetup scale="73" orientation="landscape" r:id="rId1"/>
  <headerFooter>
    <oddFooter>&amp;LForm 8B
Operating, Service and Rent Subsidy Sources&amp;CCFA Forms</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8:Z65"/>
  <sheetViews>
    <sheetView showGridLines="0" zoomScaleNormal="100" workbookViewId="0">
      <selection activeCell="H33" sqref="H33"/>
    </sheetView>
  </sheetViews>
  <sheetFormatPr defaultColWidth="9.140625" defaultRowHeight="15" x14ac:dyDescent="0.25"/>
  <cols>
    <col min="1" max="2" width="1.7109375" style="396" customWidth="1"/>
    <col min="3" max="3" width="20" style="396" customWidth="1"/>
    <col min="4" max="4" width="11.5703125" style="396" bestFit="1" customWidth="1"/>
    <col min="5" max="5" width="14.28515625" style="396" customWidth="1"/>
    <col min="6" max="8" width="9.140625" style="396"/>
    <col min="9" max="9" width="7.28515625" style="396" bestFit="1" customWidth="1"/>
    <col min="10" max="10" width="6.85546875" style="396" bestFit="1" customWidth="1"/>
    <col min="11" max="11" width="10.7109375" style="396" bestFit="1" customWidth="1"/>
    <col min="12" max="12" width="10" style="396" customWidth="1"/>
    <col min="13" max="13" width="2.85546875" style="396" customWidth="1"/>
    <col min="14" max="14" width="11.42578125" style="396" customWidth="1"/>
    <col min="15" max="18" width="10" style="396" bestFit="1" customWidth="1"/>
    <col min="19" max="19" width="1.7109375" style="396" customWidth="1"/>
    <col min="20" max="16384" width="9.140625" style="396"/>
  </cols>
  <sheetData>
    <row r="8" spans="2:19" ht="9" customHeight="1" thickBot="1" x14ac:dyDescent="0.3"/>
    <row r="9" spans="2:19" ht="9" customHeight="1" x14ac:dyDescent="0.25">
      <c r="B9" s="207"/>
      <c r="C9" s="208"/>
      <c r="D9" s="208"/>
      <c r="E9" s="209"/>
      <c r="F9" s="209"/>
      <c r="G9" s="210"/>
      <c r="H9" s="211"/>
      <c r="I9" s="211"/>
      <c r="J9" s="211"/>
      <c r="K9" s="212"/>
      <c r="L9" s="210"/>
      <c r="M9" s="210"/>
      <c r="N9" s="213"/>
      <c r="O9" s="209"/>
      <c r="P9" s="210"/>
      <c r="Q9" s="210"/>
      <c r="R9" s="210"/>
      <c r="S9" s="214"/>
    </row>
    <row r="10" spans="2:19" ht="18.75" x14ac:dyDescent="0.3">
      <c r="B10" s="215"/>
      <c r="C10" s="2293" t="s">
        <v>1134</v>
      </c>
      <c r="D10" s="2293"/>
      <c r="E10" s="2293"/>
      <c r="F10" s="2293"/>
      <c r="G10" s="2293"/>
      <c r="H10" s="2293"/>
      <c r="I10" s="2293"/>
      <c r="J10" s="2293"/>
      <c r="K10" s="2293"/>
      <c r="L10" s="2293"/>
      <c r="M10" s="2293"/>
      <c r="N10" s="2293"/>
      <c r="O10" s="2293"/>
      <c r="P10" s="2293"/>
      <c r="Q10" s="2293"/>
      <c r="R10" s="2293"/>
      <c r="S10" s="200"/>
    </row>
    <row r="11" spans="2:19" x14ac:dyDescent="0.25">
      <c r="B11" s="215"/>
      <c r="C11" s="422"/>
      <c r="D11" s="422"/>
      <c r="E11" s="216"/>
      <c r="F11" s="216"/>
      <c r="G11" s="217"/>
      <c r="H11" s="218"/>
      <c r="I11" s="218"/>
      <c r="J11" s="218"/>
      <c r="K11" s="219"/>
      <c r="L11" s="217"/>
      <c r="M11" s="217"/>
      <c r="N11" s="220"/>
      <c r="O11" s="216"/>
      <c r="P11" s="217"/>
      <c r="Q11" s="217"/>
      <c r="R11" s="568"/>
      <c r="S11" s="200"/>
    </row>
    <row r="12" spans="2:19" ht="15.75" thickBot="1" x14ac:dyDescent="0.3">
      <c r="B12" s="215"/>
      <c r="C12" s="2579" t="str">
        <f>IF('1'!G5="","Enter Project Name on Form 1",(CONCATENATE("Project Name: ",'1'!G5)))</f>
        <v>Enter Project Name on Form 1</v>
      </c>
      <c r="D12" s="2579"/>
      <c r="E12" s="2579"/>
      <c r="F12" s="2579"/>
      <c r="G12" s="2579"/>
      <c r="H12" s="2579"/>
      <c r="I12" s="2579"/>
      <c r="J12" s="2580"/>
      <c r="K12" s="2579"/>
      <c r="L12" s="2579"/>
      <c r="M12" s="1869"/>
      <c r="N12" s="1869"/>
      <c r="O12" s="422"/>
      <c r="P12" s="422"/>
      <c r="Q12" s="422"/>
      <c r="R12" s="568"/>
      <c r="S12" s="235"/>
    </row>
    <row r="13" spans="2:19" ht="15.75" thickBot="1" x14ac:dyDescent="0.3">
      <c r="B13" s="215"/>
      <c r="C13" s="378"/>
      <c r="D13" s="378"/>
      <c r="E13" s="378"/>
      <c r="F13" s="378"/>
      <c r="G13" s="378"/>
      <c r="H13" s="378"/>
      <c r="I13" s="378"/>
      <c r="J13" s="378"/>
      <c r="K13" s="378"/>
      <c r="L13" s="378"/>
      <c r="M13" s="221"/>
      <c r="N13" s="378"/>
      <c r="O13" s="378"/>
      <c r="P13" s="378"/>
      <c r="Q13" s="378"/>
      <c r="R13" s="378"/>
      <c r="S13" s="200"/>
    </row>
    <row r="14" spans="2:19" ht="16.5" thickBot="1" x14ac:dyDescent="0.3">
      <c r="B14" s="215"/>
      <c r="C14" s="2562" t="s">
        <v>633</v>
      </c>
      <c r="D14" s="2563"/>
      <c r="E14" s="2564"/>
      <c r="F14" s="2564"/>
      <c r="G14" s="2564"/>
      <c r="H14" s="2564"/>
      <c r="I14" s="2564"/>
      <c r="J14" s="2563"/>
      <c r="K14" s="2564"/>
      <c r="L14" s="2565"/>
      <c r="M14" s="221"/>
      <c r="N14" s="2566" t="s">
        <v>634</v>
      </c>
      <c r="O14" s="2567"/>
      <c r="P14" s="2567"/>
      <c r="Q14" s="2568"/>
      <c r="R14" s="2569"/>
      <c r="S14" s="200"/>
    </row>
    <row r="15" spans="2:19" ht="78" thickBot="1" x14ac:dyDescent="0.3">
      <c r="B15" s="222"/>
      <c r="C15" s="1865" t="s">
        <v>632</v>
      </c>
      <c r="D15" s="596" t="s">
        <v>638</v>
      </c>
      <c r="E15" s="596" t="s">
        <v>343</v>
      </c>
      <c r="F15" s="597" t="s">
        <v>344</v>
      </c>
      <c r="G15" s="598" t="s">
        <v>345</v>
      </c>
      <c r="H15" s="597" t="s">
        <v>346</v>
      </c>
      <c r="I15" s="1739" t="s">
        <v>1453</v>
      </c>
      <c r="J15" s="597" t="s">
        <v>1452</v>
      </c>
      <c r="K15" s="598" t="s">
        <v>347</v>
      </c>
      <c r="L15" s="599" t="s">
        <v>351</v>
      </c>
      <c r="M15" s="221"/>
      <c r="N15" s="696" t="s">
        <v>353</v>
      </c>
      <c r="O15" s="1069" t="str">
        <f>IF('8B'!C26="","Enter Source Name on Form 8B",'8B'!C26)</f>
        <v>Enter Source Name on Form 8B</v>
      </c>
      <c r="P15" s="1070" t="str">
        <f>IF('8B'!C27="","Enter Source Name on Form 8B",'8B'!C27)</f>
        <v>Enter Source Name on Form 8B</v>
      </c>
      <c r="Q15" s="1070" t="str">
        <f>IF('8B'!C28="","Enter Source Name on Form 8B",'8B'!C28)</f>
        <v>Enter Source Name on Form 8B</v>
      </c>
      <c r="R15" s="1071" t="str">
        <f>IF('8B'!C29="","Enter Source Name on Form 8B",'8B'!C29)</f>
        <v>Enter Source Name on Form 8B</v>
      </c>
      <c r="S15" s="200"/>
    </row>
    <row r="16" spans="2:19" x14ac:dyDescent="0.25">
      <c r="B16" s="222"/>
      <c r="C16" s="1866"/>
      <c r="D16" s="1033" t="s">
        <v>541</v>
      </c>
      <c r="E16" s="795"/>
      <c r="F16" s="1239">
        <v>0</v>
      </c>
      <c r="G16" s="796">
        <v>0</v>
      </c>
      <c r="H16" s="1584">
        <f>F16*G16</f>
        <v>0</v>
      </c>
      <c r="I16" s="796" t="s">
        <v>541</v>
      </c>
      <c r="J16" s="796">
        <v>0</v>
      </c>
      <c r="K16" s="1965">
        <f>H16*J16</f>
        <v>0</v>
      </c>
      <c r="L16" s="1585">
        <f>H16+K16</f>
        <v>0</v>
      </c>
      <c r="M16" s="223"/>
      <c r="N16" s="1244"/>
      <c r="O16" s="1245">
        <v>0</v>
      </c>
      <c r="P16" s="1245">
        <v>0</v>
      </c>
      <c r="Q16" s="1704">
        <v>0</v>
      </c>
      <c r="R16" s="1246">
        <v>0</v>
      </c>
      <c r="S16" s="224"/>
    </row>
    <row r="17" spans="2:19" x14ac:dyDescent="0.25">
      <c r="B17" s="215"/>
      <c r="C17" s="1863"/>
      <c r="D17" s="1034"/>
      <c r="E17" s="973"/>
      <c r="F17" s="1240">
        <v>0</v>
      </c>
      <c r="G17" s="798">
        <v>0</v>
      </c>
      <c r="H17" s="1586">
        <f t="shared" ref="H17:H24" si="0">F17*G17</f>
        <v>0</v>
      </c>
      <c r="I17" s="798"/>
      <c r="J17" s="1966">
        <v>0</v>
      </c>
      <c r="K17" s="1967">
        <f t="shared" ref="K17:K24" si="1">H17*J17</f>
        <v>0</v>
      </c>
      <c r="L17" s="1587">
        <f>H17+K17</f>
        <v>0</v>
      </c>
      <c r="M17" s="223"/>
      <c r="N17" s="1247">
        <v>0</v>
      </c>
      <c r="O17" s="1241">
        <v>0</v>
      </c>
      <c r="P17" s="1241">
        <v>0</v>
      </c>
      <c r="Q17" s="1705">
        <v>0</v>
      </c>
      <c r="R17" s="1248">
        <v>0</v>
      </c>
      <c r="S17" s="225"/>
    </row>
    <row r="18" spans="2:19" x14ac:dyDescent="0.25">
      <c r="B18" s="215"/>
      <c r="C18" s="1863"/>
      <c r="D18" s="1034"/>
      <c r="E18" s="973"/>
      <c r="F18" s="1240">
        <v>0</v>
      </c>
      <c r="G18" s="798">
        <v>0</v>
      </c>
      <c r="H18" s="1586">
        <f t="shared" si="0"/>
        <v>0</v>
      </c>
      <c r="I18" s="798"/>
      <c r="J18" s="798">
        <v>0</v>
      </c>
      <c r="K18" s="1968">
        <f t="shared" si="1"/>
        <v>0</v>
      </c>
      <c r="L18" s="1587">
        <f t="shared" ref="L18:L24" si="2">H18+K18</f>
        <v>0</v>
      </c>
      <c r="M18" s="223"/>
      <c r="N18" s="1247">
        <v>0</v>
      </c>
      <c r="O18" s="1241">
        <v>0</v>
      </c>
      <c r="P18" s="1241">
        <v>0</v>
      </c>
      <c r="Q18" s="1705">
        <v>0</v>
      </c>
      <c r="R18" s="1248">
        <v>0</v>
      </c>
      <c r="S18" s="200"/>
    </row>
    <row r="19" spans="2:19" x14ac:dyDescent="0.25">
      <c r="B19" s="215"/>
      <c r="C19" s="1863"/>
      <c r="D19" s="1034"/>
      <c r="E19" s="973"/>
      <c r="F19" s="1240">
        <v>0</v>
      </c>
      <c r="G19" s="798">
        <v>0</v>
      </c>
      <c r="H19" s="1586">
        <f t="shared" si="0"/>
        <v>0</v>
      </c>
      <c r="I19" s="798"/>
      <c r="J19" s="798">
        <v>0</v>
      </c>
      <c r="K19" s="1967">
        <f t="shared" si="1"/>
        <v>0</v>
      </c>
      <c r="L19" s="1587">
        <f t="shared" si="2"/>
        <v>0</v>
      </c>
      <c r="M19" s="223"/>
      <c r="N19" s="1247">
        <v>0</v>
      </c>
      <c r="O19" s="1241">
        <v>0</v>
      </c>
      <c r="P19" s="1241">
        <v>0</v>
      </c>
      <c r="Q19" s="1705">
        <v>0</v>
      </c>
      <c r="R19" s="1248">
        <v>0</v>
      </c>
      <c r="S19" s="200"/>
    </row>
    <row r="20" spans="2:19" x14ac:dyDescent="0.25">
      <c r="B20" s="215"/>
      <c r="C20" s="1863"/>
      <c r="D20" s="1034"/>
      <c r="E20" s="973"/>
      <c r="F20" s="1240">
        <v>0</v>
      </c>
      <c r="G20" s="798">
        <v>0</v>
      </c>
      <c r="H20" s="1586">
        <f t="shared" si="0"/>
        <v>0</v>
      </c>
      <c r="I20" s="798"/>
      <c r="J20" s="798">
        <v>0</v>
      </c>
      <c r="K20" s="1967">
        <f t="shared" si="1"/>
        <v>0</v>
      </c>
      <c r="L20" s="1587">
        <f>H20+K20</f>
        <v>0</v>
      </c>
      <c r="M20" s="223"/>
      <c r="N20" s="1247">
        <v>0</v>
      </c>
      <c r="O20" s="1241">
        <v>0</v>
      </c>
      <c r="P20" s="1241">
        <v>0</v>
      </c>
      <c r="Q20" s="1705">
        <v>0</v>
      </c>
      <c r="R20" s="1248">
        <v>0</v>
      </c>
      <c r="S20" s="200"/>
    </row>
    <row r="21" spans="2:19" x14ac:dyDescent="0.25">
      <c r="B21" s="215"/>
      <c r="C21" s="1863"/>
      <c r="D21" s="1034"/>
      <c r="E21" s="973"/>
      <c r="F21" s="1241">
        <v>0</v>
      </c>
      <c r="G21" s="798">
        <v>0</v>
      </c>
      <c r="H21" s="1586">
        <f t="shared" si="0"/>
        <v>0</v>
      </c>
      <c r="I21" s="798"/>
      <c r="J21" s="798">
        <v>0</v>
      </c>
      <c r="K21" s="1967">
        <f t="shared" si="1"/>
        <v>0</v>
      </c>
      <c r="L21" s="1587">
        <f t="shared" si="2"/>
        <v>0</v>
      </c>
      <c r="M21" s="223"/>
      <c r="N21" s="1247">
        <v>0</v>
      </c>
      <c r="O21" s="1241">
        <v>0</v>
      </c>
      <c r="P21" s="1241">
        <v>0</v>
      </c>
      <c r="Q21" s="1705">
        <v>0</v>
      </c>
      <c r="R21" s="1248">
        <v>0</v>
      </c>
      <c r="S21" s="200"/>
    </row>
    <row r="22" spans="2:19" x14ac:dyDescent="0.25">
      <c r="B22" s="215"/>
      <c r="C22" s="1863"/>
      <c r="D22" s="1034"/>
      <c r="E22" s="973"/>
      <c r="F22" s="1241">
        <v>0</v>
      </c>
      <c r="G22" s="798">
        <v>0</v>
      </c>
      <c r="H22" s="1586">
        <f t="shared" si="0"/>
        <v>0</v>
      </c>
      <c r="I22" s="798"/>
      <c r="J22" s="798">
        <v>0</v>
      </c>
      <c r="K22" s="1967">
        <f t="shared" si="1"/>
        <v>0</v>
      </c>
      <c r="L22" s="1587">
        <f t="shared" si="2"/>
        <v>0</v>
      </c>
      <c r="M22" s="223"/>
      <c r="N22" s="1247">
        <v>0</v>
      </c>
      <c r="O22" s="1241">
        <v>0</v>
      </c>
      <c r="P22" s="1241">
        <v>0</v>
      </c>
      <c r="Q22" s="1705">
        <v>0</v>
      </c>
      <c r="R22" s="1248">
        <v>0</v>
      </c>
      <c r="S22" s="200"/>
    </row>
    <row r="23" spans="2:19" x14ac:dyDescent="0.25">
      <c r="B23" s="215"/>
      <c r="C23" s="1863"/>
      <c r="D23" s="1034"/>
      <c r="E23" s="973"/>
      <c r="F23" s="1241">
        <v>0</v>
      </c>
      <c r="G23" s="798">
        <v>0</v>
      </c>
      <c r="H23" s="1586">
        <f t="shared" si="0"/>
        <v>0</v>
      </c>
      <c r="I23" s="798"/>
      <c r="J23" s="798">
        <v>0</v>
      </c>
      <c r="K23" s="1967">
        <f t="shared" si="1"/>
        <v>0</v>
      </c>
      <c r="L23" s="1587">
        <f t="shared" si="2"/>
        <v>0</v>
      </c>
      <c r="M23" s="223"/>
      <c r="N23" s="1247">
        <v>0</v>
      </c>
      <c r="O23" s="1241">
        <v>0</v>
      </c>
      <c r="P23" s="1241">
        <v>0</v>
      </c>
      <c r="Q23" s="1705">
        <v>0</v>
      </c>
      <c r="R23" s="1248">
        <v>0</v>
      </c>
      <c r="S23" s="200"/>
    </row>
    <row r="24" spans="2:19" x14ac:dyDescent="0.25">
      <c r="B24" s="215"/>
      <c r="C24" s="1037"/>
      <c r="D24" s="1039"/>
      <c r="E24" s="1021"/>
      <c r="F24" s="1242">
        <v>0</v>
      </c>
      <c r="G24" s="1038">
        <v>0</v>
      </c>
      <c r="H24" s="1588">
        <f t="shared" si="0"/>
        <v>0</v>
      </c>
      <c r="I24" s="1471"/>
      <c r="J24" s="1471">
        <v>0</v>
      </c>
      <c r="K24" s="1969">
        <f t="shared" si="1"/>
        <v>0</v>
      </c>
      <c r="L24" s="1590">
        <f t="shared" si="2"/>
        <v>0</v>
      </c>
      <c r="M24" s="223"/>
      <c r="N24" s="1249">
        <v>0</v>
      </c>
      <c r="O24" s="1242">
        <v>0</v>
      </c>
      <c r="P24" s="1242">
        <v>0</v>
      </c>
      <c r="Q24" s="1706">
        <v>0</v>
      </c>
      <c r="R24" s="1250">
        <v>0</v>
      </c>
      <c r="S24" s="200"/>
    </row>
    <row r="25" spans="2:19" x14ac:dyDescent="0.25">
      <c r="B25" s="215"/>
      <c r="C25" s="1591"/>
      <c r="D25" s="1592"/>
      <c r="E25" s="1593"/>
      <c r="F25" s="1594"/>
      <c r="G25" s="1595"/>
      <c r="H25" s="1468"/>
      <c r="I25" s="2572" t="s">
        <v>1126</v>
      </c>
      <c r="J25" s="2572"/>
      <c r="K25" s="2573"/>
      <c r="L25" s="1596">
        <f>SUMIF(D16:D24,"On Site",L16:L24)</f>
        <v>0</v>
      </c>
      <c r="M25" s="223"/>
      <c r="N25" s="1597"/>
      <c r="O25" s="1598"/>
      <c r="P25" s="1598"/>
      <c r="Q25" s="1707"/>
      <c r="R25" s="1599"/>
      <c r="S25" s="200"/>
    </row>
    <row r="26" spans="2:19" ht="15.75" thickBot="1" x14ac:dyDescent="0.3">
      <c r="B26" s="215"/>
      <c r="C26" s="1591"/>
      <c r="D26" s="1592"/>
      <c r="E26" s="1593"/>
      <c r="F26" s="1594"/>
      <c r="G26" s="1595"/>
      <c r="H26" s="1468"/>
      <c r="I26" s="2572" t="s">
        <v>1127</v>
      </c>
      <c r="J26" s="2572"/>
      <c r="K26" s="2573"/>
      <c r="L26" s="1600">
        <f>SUMIF(D16:D24,"Off Site",L16:L24)</f>
        <v>0</v>
      </c>
      <c r="M26" s="223"/>
      <c r="N26" s="1597"/>
      <c r="O26" s="1598"/>
      <c r="P26" s="1598"/>
      <c r="Q26" s="1707"/>
      <c r="R26" s="1599"/>
      <c r="S26" s="200"/>
    </row>
    <row r="27" spans="2:19" ht="17.25" thickTop="1" thickBot="1" x14ac:dyDescent="0.3">
      <c r="B27" s="226"/>
      <c r="C27" s="2570" t="s">
        <v>348</v>
      </c>
      <c r="D27" s="2571"/>
      <c r="E27" s="2571"/>
      <c r="F27" s="2571"/>
      <c r="G27" s="2571"/>
      <c r="H27" s="1469"/>
      <c r="I27" s="1469"/>
      <c r="J27" s="1469"/>
      <c r="K27" s="1470"/>
      <c r="L27" s="1243">
        <f>SUM(L16:L24)</f>
        <v>0</v>
      </c>
      <c r="M27" s="228"/>
      <c r="N27" s="1251">
        <f>SUM(N16:N24)</f>
        <v>0</v>
      </c>
      <c r="O27" s="1252">
        <f>SUM(O16:O24)</f>
        <v>0</v>
      </c>
      <c r="P27" s="1252">
        <f>SUM(P16:P24)</f>
        <v>0</v>
      </c>
      <c r="Q27" s="1252">
        <f>SUM(Q16:Q24)</f>
        <v>0</v>
      </c>
      <c r="R27" s="1253">
        <f>SUM(R16:R24)</f>
        <v>0</v>
      </c>
      <c r="S27" s="200"/>
    </row>
    <row r="28" spans="2:19" ht="15" customHeight="1" x14ac:dyDescent="0.25">
      <c r="B28" s="226"/>
      <c r="C28" s="231"/>
      <c r="D28" s="231"/>
      <c r="E28" s="231"/>
      <c r="F28" s="231"/>
      <c r="G28" s="231"/>
      <c r="H28" s="2574" t="str">
        <f>IF(L27&gt;(SUM(N27:R27)),"WARNING - Costs Exceed Listed Funding",(IF(AND(L27&lt;&gt;0,L27&lt;=(SUM(N27:R27))),"Costs Are Covered By Listed Funding","")))</f>
        <v/>
      </c>
      <c r="I28" s="2574"/>
      <c r="J28" s="2574"/>
      <c r="K28" s="2574"/>
      <c r="L28" s="2574"/>
      <c r="M28" s="229"/>
      <c r="N28" s="2584" t="str">
        <f>IF(SUM(O27:R27)&lt;&gt;'8B'!F30,"WARNING - Total for non-Cash Flow sources does not match Total for Operating Subsidy on 8B","")</f>
        <v/>
      </c>
      <c r="O28" s="2584"/>
      <c r="P28" s="2584"/>
      <c r="Q28" s="2584"/>
      <c r="R28" s="2584"/>
      <c r="S28" s="200"/>
    </row>
    <row r="29" spans="2:19" ht="15" customHeight="1" x14ac:dyDescent="0.25">
      <c r="B29" s="226"/>
      <c r="C29" s="231"/>
      <c r="D29" s="231"/>
      <c r="E29" s="231"/>
      <c r="F29" s="231"/>
      <c r="G29" s="231"/>
      <c r="H29" s="234"/>
      <c r="I29" s="234"/>
      <c r="J29" s="234"/>
      <c r="K29" s="229"/>
      <c r="L29" s="229"/>
      <c r="M29" s="229"/>
      <c r="N29" s="2561"/>
      <c r="O29" s="2561"/>
      <c r="P29" s="2561"/>
      <c r="Q29" s="2561"/>
      <c r="R29" s="2561"/>
      <c r="S29" s="200"/>
    </row>
    <row r="30" spans="2:19" ht="7.5" customHeight="1" thickBot="1" x14ac:dyDescent="0.3">
      <c r="B30" s="226"/>
      <c r="C30" s="231"/>
      <c r="D30" s="231"/>
      <c r="E30" s="231"/>
      <c r="F30" s="231"/>
      <c r="G30" s="231"/>
      <c r="H30" s="234"/>
      <c r="I30" s="234"/>
      <c r="J30" s="234"/>
      <c r="K30" s="229"/>
      <c r="L30" s="229"/>
      <c r="M30" s="229"/>
      <c r="N30" s="2166"/>
      <c r="O30" s="2166"/>
      <c r="P30" s="2166"/>
      <c r="Q30" s="2166"/>
      <c r="R30" s="2166"/>
      <c r="S30" s="200"/>
    </row>
    <row r="31" spans="2:19" ht="16.5" thickBot="1" x14ac:dyDescent="0.3">
      <c r="B31" s="215"/>
      <c r="C31" s="2562" t="s">
        <v>349</v>
      </c>
      <c r="D31" s="2563"/>
      <c r="E31" s="2563"/>
      <c r="F31" s="2563"/>
      <c r="G31" s="2563"/>
      <c r="H31" s="2563"/>
      <c r="I31" s="2563"/>
      <c r="J31" s="2563"/>
      <c r="K31" s="2563"/>
      <c r="L31" s="2583"/>
      <c r="M31" s="378"/>
      <c r="N31" s="2566" t="s">
        <v>352</v>
      </c>
      <c r="O31" s="2567"/>
      <c r="P31" s="2567"/>
      <c r="Q31" s="2568"/>
      <c r="R31" s="2569"/>
      <c r="S31" s="200"/>
    </row>
    <row r="32" spans="2:19" ht="78" thickBot="1" x14ac:dyDescent="0.3">
      <c r="B32" s="226"/>
      <c r="C32" s="2586" t="s">
        <v>350</v>
      </c>
      <c r="D32" s="2587"/>
      <c r="E32" s="1491" t="s">
        <v>343</v>
      </c>
      <c r="F32" s="1492" t="s">
        <v>344</v>
      </c>
      <c r="G32" s="1493" t="s">
        <v>345</v>
      </c>
      <c r="H32" s="1492" t="s">
        <v>346</v>
      </c>
      <c r="I32" s="1739" t="s">
        <v>1453</v>
      </c>
      <c r="J32" s="597" t="s">
        <v>1452</v>
      </c>
      <c r="K32" s="1493" t="s">
        <v>347</v>
      </c>
      <c r="L32" s="1494" t="s">
        <v>351</v>
      </c>
      <c r="M32" s="221"/>
      <c r="N32" s="696" t="s">
        <v>353</v>
      </c>
      <c r="O32" s="601" t="str">
        <f>IF('8B'!C35="","Enter Source Name on Form 8B",'8B'!C35)</f>
        <v>Enter Source Name on Form 8B</v>
      </c>
      <c r="P32" s="601" t="str">
        <f>IF('8B'!C36="","Enter Source Name on Form 8B",'8B'!C36)</f>
        <v>Enter Source Name on Form 8B</v>
      </c>
      <c r="Q32" s="1708" t="str">
        <f>IF('8B'!C37="","Enter Source Name on Form 8B",'8B'!C37)</f>
        <v>Enter Source Name on Form 8B</v>
      </c>
      <c r="R32" s="602" t="str">
        <f>IF('8B'!C38="","Enter Source Name on Form 8B",'8B'!C38)</f>
        <v>Enter Source Name on Form 8B</v>
      </c>
      <c r="S32" s="200"/>
    </row>
    <row r="33" spans="2:26" ht="15" customHeight="1" x14ac:dyDescent="0.25">
      <c r="B33" s="226"/>
      <c r="C33" s="2588"/>
      <c r="D33" s="2589"/>
      <c r="E33" s="795"/>
      <c r="F33" s="1239">
        <v>0</v>
      </c>
      <c r="G33" s="796">
        <v>0</v>
      </c>
      <c r="H33" s="1584">
        <f t="shared" ref="H33:H41" si="3">F33*G33</f>
        <v>0</v>
      </c>
      <c r="I33" s="796" t="s">
        <v>541</v>
      </c>
      <c r="J33" s="796"/>
      <c r="K33" s="1965">
        <f>H33*J33</f>
        <v>0</v>
      </c>
      <c r="L33" s="1585">
        <f>H33+K33</f>
        <v>0</v>
      </c>
      <c r="M33" s="223"/>
      <c r="N33" s="1244">
        <v>0</v>
      </c>
      <c r="O33" s="1245">
        <v>0</v>
      </c>
      <c r="P33" s="1245">
        <v>0</v>
      </c>
      <c r="Q33" s="1704">
        <v>0</v>
      </c>
      <c r="R33" s="1246">
        <v>0</v>
      </c>
      <c r="S33" s="200"/>
    </row>
    <row r="34" spans="2:26" ht="15" customHeight="1" x14ac:dyDescent="0.25">
      <c r="B34" s="226"/>
      <c r="C34" s="2533"/>
      <c r="D34" s="2534"/>
      <c r="E34" s="797"/>
      <c r="F34" s="1240">
        <v>0</v>
      </c>
      <c r="G34" s="798">
        <v>0</v>
      </c>
      <c r="H34" s="1586">
        <f t="shared" si="3"/>
        <v>0</v>
      </c>
      <c r="I34" s="798"/>
      <c r="J34" s="1966"/>
      <c r="K34" s="1967">
        <f>H34*J34</f>
        <v>0</v>
      </c>
      <c r="L34" s="1587">
        <f>H34+K34</f>
        <v>0</v>
      </c>
      <c r="M34" s="223"/>
      <c r="N34" s="1247">
        <v>0</v>
      </c>
      <c r="O34" s="1241">
        <v>0</v>
      </c>
      <c r="P34" s="1241">
        <v>0</v>
      </c>
      <c r="Q34" s="1705">
        <v>0</v>
      </c>
      <c r="R34" s="1248">
        <v>0</v>
      </c>
      <c r="S34" s="200"/>
    </row>
    <row r="35" spans="2:26" ht="15" customHeight="1" x14ac:dyDescent="0.25">
      <c r="B35" s="226"/>
      <c r="C35" s="2533"/>
      <c r="D35" s="2534"/>
      <c r="E35" s="797"/>
      <c r="F35" s="1240">
        <v>0</v>
      </c>
      <c r="G35" s="798">
        <v>0</v>
      </c>
      <c r="H35" s="1586">
        <f t="shared" si="3"/>
        <v>0</v>
      </c>
      <c r="I35" s="798"/>
      <c r="J35" s="798"/>
      <c r="K35" s="1968">
        <f t="shared" ref="K35:K41" si="4">H35*J35</f>
        <v>0</v>
      </c>
      <c r="L35" s="1587">
        <f t="shared" ref="L35:L41" si="5">H35+K35</f>
        <v>0</v>
      </c>
      <c r="M35" s="223"/>
      <c r="N35" s="1247">
        <v>0</v>
      </c>
      <c r="O35" s="1241">
        <v>0</v>
      </c>
      <c r="P35" s="1241">
        <v>0</v>
      </c>
      <c r="Q35" s="1705">
        <v>0</v>
      </c>
      <c r="R35" s="1248">
        <v>0</v>
      </c>
      <c r="S35" s="200"/>
    </row>
    <row r="36" spans="2:26" ht="15" customHeight="1" x14ac:dyDescent="0.25">
      <c r="B36" s="226"/>
      <c r="C36" s="2533"/>
      <c r="D36" s="2534"/>
      <c r="E36" s="797"/>
      <c r="F36" s="1240">
        <v>0</v>
      </c>
      <c r="G36" s="798">
        <v>0</v>
      </c>
      <c r="H36" s="1586">
        <f t="shared" si="3"/>
        <v>0</v>
      </c>
      <c r="I36" s="798"/>
      <c r="J36" s="798"/>
      <c r="K36" s="1967">
        <f t="shared" si="4"/>
        <v>0</v>
      </c>
      <c r="L36" s="1587">
        <f t="shared" si="5"/>
        <v>0</v>
      </c>
      <c r="M36" s="223"/>
      <c r="N36" s="1247">
        <v>0</v>
      </c>
      <c r="O36" s="1241">
        <v>0</v>
      </c>
      <c r="P36" s="1241">
        <v>0</v>
      </c>
      <c r="Q36" s="1705">
        <v>0</v>
      </c>
      <c r="R36" s="1248">
        <v>0</v>
      </c>
      <c r="S36" s="200"/>
    </row>
    <row r="37" spans="2:26" ht="15" customHeight="1" x14ac:dyDescent="0.25">
      <c r="B37" s="226"/>
      <c r="C37" s="2533"/>
      <c r="D37" s="2534"/>
      <c r="E37" s="797"/>
      <c r="F37" s="1240">
        <v>0</v>
      </c>
      <c r="G37" s="798">
        <v>0</v>
      </c>
      <c r="H37" s="1586">
        <f t="shared" si="3"/>
        <v>0</v>
      </c>
      <c r="I37" s="798"/>
      <c r="J37" s="798"/>
      <c r="K37" s="1967">
        <f t="shared" si="4"/>
        <v>0</v>
      </c>
      <c r="L37" s="1587">
        <f t="shared" si="5"/>
        <v>0</v>
      </c>
      <c r="M37" s="223"/>
      <c r="N37" s="1247">
        <v>0</v>
      </c>
      <c r="O37" s="1241">
        <v>0</v>
      </c>
      <c r="P37" s="1241">
        <v>0</v>
      </c>
      <c r="Q37" s="1705">
        <v>0</v>
      </c>
      <c r="R37" s="1248">
        <v>0</v>
      </c>
      <c r="S37" s="200"/>
    </row>
    <row r="38" spans="2:26" ht="15" customHeight="1" x14ac:dyDescent="0.25">
      <c r="B38" s="226"/>
      <c r="C38" s="2533"/>
      <c r="D38" s="2534"/>
      <c r="E38" s="797"/>
      <c r="F38" s="1241">
        <v>0</v>
      </c>
      <c r="G38" s="798">
        <v>0</v>
      </c>
      <c r="H38" s="1586">
        <f t="shared" si="3"/>
        <v>0</v>
      </c>
      <c r="I38" s="798"/>
      <c r="J38" s="798"/>
      <c r="K38" s="1967">
        <f t="shared" si="4"/>
        <v>0</v>
      </c>
      <c r="L38" s="1587">
        <f t="shared" si="5"/>
        <v>0</v>
      </c>
      <c r="M38" s="223"/>
      <c r="N38" s="1247">
        <v>0</v>
      </c>
      <c r="O38" s="1241">
        <v>0</v>
      </c>
      <c r="P38" s="1241">
        <v>0</v>
      </c>
      <c r="Q38" s="1705">
        <v>0</v>
      </c>
      <c r="R38" s="1248">
        <v>0</v>
      </c>
      <c r="S38" s="200"/>
    </row>
    <row r="39" spans="2:26" ht="15" customHeight="1" x14ac:dyDescent="0.25">
      <c r="B39" s="226"/>
      <c r="C39" s="2533"/>
      <c r="D39" s="2534"/>
      <c r="E39" s="797"/>
      <c r="F39" s="1241">
        <v>0</v>
      </c>
      <c r="G39" s="798">
        <v>0</v>
      </c>
      <c r="H39" s="1586">
        <f t="shared" si="3"/>
        <v>0</v>
      </c>
      <c r="I39" s="798"/>
      <c r="J39" s="798"/>
      <c r="K39" s="1967">
        <f t="shared" si="4"/>
        <v>0</v>
      </c>
      <c r="L39" s="1587">
        <f t="shared" si="5"/>
        <v>0</v>
      </c>
      <c r="M39" s="223"/>
      <c r="N39" s="1247">
        <v>0</v>
      </c>
      <c r="O39" s="1241">
        <v>0</v>
      </c>
      <c r="P39" s="1241">
        <v>0</v>
      </c>
      <c r="Q39" s="1705">
        <v>0</v>
      </c>
      <c r="R39" s="1248">
        <v>0</v>
      </c>
      <c r="S39" s="200"/>
    </row>
    <row r="40" spans="2:26" ht="15" customHeight="1" x14ac:dyDescent="0.25">
      <c r="B40" s="226"/>
      <c r="C40" s="2533"/>
      <c r="D40" s="2534"/>
      <c r="E40" s="797"/>
      <c r="F40" s="1241">
        <v>0</v>
      </c>
      <c r="G40" s="798">
        <v>0</v>
      </c>
      <c r="H40" s="1586">
        <f t="shared" si="3"/>
        <v>0</v>
      </c>
      <c r="I40" s="798"/>
      <c r="J40" s="798"/>
      <c r="K40" s="1967">
        <f t="shared" si="4"/>
        <v>0</v>
      </c>
      <c r="L40" s="1587">
        <f t="shared" si="5"/>
        <v>0</v>
      </c>
      <c r="M40" s="223"/>
      <c r="N40" s="1247">
        <v>0</v>
      </c>
      <c r="O40" s="1241">
        <v>0</v>
      </c>
      <c r="P40" s="1241">
        <v>0</v>
      </c>
      <c r="Q40" s="1705">
        <v>0</v>
      </c>
      <c r="R40" s="1248">
        <v>0</v>
      </c>
      <c r="S40" s="200"/>
    </row>
    <row r="41" spans="2:26" ht="15" customHeight="1" thickBot="1" x14ac:dyDescent="0.3">
      <c r="B41" s="226"/>
      <c r="C41" s="2590"/>
      <c r="D41" s="2591"/>
      <c r="E41" s="1703"/>
      <c r="F41" s="1262">
        <v>0</v>
      </c>
      <c r="G41" s="1471">
        <v>0</v>
      </c>
      <c r="H41" s="1589">
        <f t="shared" si="3"/>
        <v>0</v>
      </c>
      <c r="I41" s="1471"/>
      <c r="J41" s="1471"/>
      <c r="K41" s="1969">
        <f t="shared" si="4"/>
        <v>0</v>
      </c>
      <c r="L41" s="1590">
        <f t="shared" si="5"/>
        <v>0</v>
      </c>
      <c r="M41" s="223"/>
      <c r="N41" s="1249">
        <v>0</v>
      </c>
      <c r="O41" s="1242">
        <v>0</v>
      </c>
      <c r="P41" s="1242">
        <v>0</v>
      </c>
      <c r="Q41" s="1706">
        <v>0</v>
      </c>
      <c r="R41" s="1250">
        <v>0</v>
      </c>
      <c r="S41" s="200"/>
    </row>
    <row r="42" spans="2:26" ht="15" customHeight="1" thickTop="1" thickBot="1" x14ac:dyDescent="0.3">
      <c r="B42" s="226"/>
      <c r="C42" s="2581" t="s">
        <v>354</v>
      </c>
      <c r="D42" s="2582"/>
      <c r="E42" s="2582"/>
      <c r="F42" s="2582"/>
      <c r="G42" s="227"/>
      <c r="H42" s="227"/>
      <c r="I42" s="1469"/>
      <c r="J42" s="1469"/>
      <c r="K42" s="1470"/>
      <c r="L42" s="1243">
        <f>SUM(L33:L41)</f>
        <v>0</v>
      </c>
      <c r="M42" s="228"/>
      <c r="N42" s="1711">
        <f>SUM(N33:N41)</f>
        <v>0</v>
      </c>
      <c r="O42" s="1712">
        <f>SUM(O33:O41)</f>
        <v>0</v>
      </c>
      <c r="P42" s="1712">
        <f>SUM(P33:P41)</f>
        <v>0</v>
      </c>
      <c r="Q42" s="1712">
        <f>SUM(Q33:Q41)</f>
        <v>0</v>
      </c>
      <c r="R42" s="1713">
        <f>SUM(R33:R41)</f>
        <v>0</v>
      </c>
      <c r="S42" s="200"/>
    </row>
    <row r="43" spans="2:26" ht="15" customHeight="1" x14ac:dyDescent="0.25">
      <c r="B43" s="226"/>
      <c r="C43" s="231"/>
      <c r="D43" s="231"/>
      <c r="E43" s="231"/>
      <c r="F43" s="2561" t="str">
        <f>IF(L42&gt;(SUM(N42:R42)),"WARNING - Service Personnel Costs Exceed Listed Funding",(IF(AND(L42&lt;&gt;0,L42&lt;=(SUM(N42:R42))),"Service Personnel Costs Are Covered By Listed Funding","")))</f>
        <v/>
      </c>
      <c r="G43" s="2561"/>
      <c r="H43" s="2561"/>
      <c r="I43" s="2561"/>
      <c r="J43" s="2561"/>
      <c r="K43" s="2561"/>
      <c r="L43" s="2561"/>
      <c r="M43" s="229"/>
      <c r="N43" s="2585"/>
      <c r="O43" s="2585"/>
      <c r="P43" s="2585"/>
      <c r="Q43" s="2585"/>
      <c r="R43" s="2585"/>
      <c r="S43" s="200"/>
      <c r="U43" s="2575"/>
      <c r="V43" s="2575"/>
      <c r="W43" s="2575"/>
      <c r="X43" s="2575"/>
      <c r="Y43" s="2575"/>
      <c r="Z43" s="2575"/>
    </row>
    <row r="44" spans="2:26" ht="15" customHeight="1" thickBot="1" x14ac:dyDescent="0.3">
      <c r="B44" s="226"/>
      <c r="C44" s="231"/>
      <c r="D44" s="231"/>
      <c r="E44" s="231"/>
      <c r="F44" s="231"/>
      <c r="G44" s="231"/>
      <c r="H44" s="2165"/>
      <c r="I44" s="2165"/>
      <c r="J44" s="2165"/>
      <c r="K44" s="2165"/>
      <c r="L44" s="2165"/>
      <c r="M44" s="229"/>
      <c r="N44" s="2108"/>
      <c r="O44" s="2108"/>
      <c r="P44" s="2108"/>
      <c r="Q44" s="2108"/>
      <c r="R44" s="2108"/>
      <c r="S44" s="200"/>
      <c r="U44" s="2575"/>
      <c r="V44" s="2575"/>
      <c r="W44" s="2575"/>
      <c r="X44" s="2575"/>
      <c r="Y44" s="2575"/>
      <c r="Z44" s="2575"/>
    </row>
    <row r="45" spans="2:26" ht="37.5" thickBot="1" x14ac:dyDescent="0.3">
      <c r="B45" s="226"/>
      <c r="C45" s="2576" t="s">
        <v>1442</v>
      </c>
      <c r="D45" s="2577"/>
      <c r="E45" s="2577"/>
      <c r="F45" s="2577"/>
      <c r="G45" s="2577"/>
      <c r="H45" s="2577"/>
      <c r="I45" s="2577"/>
      <c r="J45" s="2577"/>
      <c r="K45" s="2577"/>
      <c r="L45" s="2578"/>
      <c r="M45" s="229"/>
      <c r="N45" s="697" t="s">
        <v>353</v>
      </c>
      <c r="O45" s="360" t="str">
        <f>O32</f>
        <v>Enter Source Name on Form 8B</v>
      </c>
      <c r="P45" s="360" t="str">
        <f>P32</f>
        <v>Enter Source Name on Form 8B</v>
      </c>
      <c r="Q45" s="360" t="str">
        <f>Q32</f>
        <v>Enter Source Name on Form 8B</v>
      </c>
      <c r="R45" s="361" t="str">
        <f>R32</f>
        <v>Enter Source Name on Form 8B</v>
      </c>
      <c r="S45" s="200"/>
      <c r="U45" s="2575"/>
      <c r="V45" s="2575"/>
      <c r="W45" s="2575"/>
      <c r="X45" s="2575"/>
      <c r="Y45" s="2575"/>
      <c r="Z45" s="2575"/>
    </row>
    <row r="46" spans="2:26" x14ac:dyDescent="0.25">
      <c r="B46" s="226"/>
      <c r="C46" s="378"/>
      <c r="D46" s="378"/>
      <c r="E46" s="378"/>
      <c r="F46" s="2537" t="s">
        <v>1131</v>
      </c>
      <c r="G46" s="2537"/>
      <c r="H46" s="2537"/>
      <c r="I46" s="1495"/>
      <c r="J46" s="1495"/>
      <c r="K46" s="1496"/>
      <c r="L46" s="1254">
        <v>0</v>
      </c>
      <c r="M46" s="232"/>
      <c r="N46" s="1257">
        <v>0</v>
      </c>
      <c r="O46" s="1245">
        <v>0</v>
      </c>
      <c r="P46" s="1245">
        <v>0</v>
      </c>
      <c r="Q46" s="1704">
        <v>0</v>
      </c>
      <c r="R46" s="1258">
        <v>0</v>
      </c>
      <c r="S46" s="200"/>
      <c r="U46" s="2575"/>
      <c r="V46" s="2575"/>
      <c r="W46" s="2575"/>
      <c r="X46" s="2575"/>
      <c r="Y46" s="2575"/>
      <c r="Z46" s="2575"/>
    </row>
    <row r="47" spans="2:26" x14ac:dyDescent="0.25">
      <c r="B47" s="226"/>
      <c r="C47" s="378"/>
      <c r="D47" s="378"/>
      <c r="E47" s="378"/>
      <c r="F47" s="1497" t="s">
        <v>355</v>
      </c>
      <c r="G47" s="1498"/>
      <c r="H47" s="1498"/>
      <c r="I47" s="1498"/>
      <c r="J47" s="1498"/>
      <c r="K47" s="1499"/>
      <c r="L47" s="1255">
        <v>0</v>
      </c>
      <c r="M47" s="232"/>
      <c r="N47" s="1259">
        <v>0</v>
      </c>
      <c r="O47" s="1241">
        <v>0</v>
      </c>
      <c r="P47" s="1241">
        <v>0</v>
      </c>
      <c r="Q47" s="1705">
        <v>0</v>
      </c>
      <c r="R47" s="1260">
        <v>0</v>
      </c>
      <c r="S47" s="200"/>
    </row>
    <row r="48" spans="2:26" ht="15.75" customHeight="1" x14ac:dyDescent="0.25">
      <c r="B48" s="226"/>
      <c r="C48" s="378"/>
      <c r="D48" s="378"/>
      <c r="E48" s="378"/>
      <c r="F48" s="2535" t="s">
        <v>1132</v>
      </c>
      <c r="G48" s="2535"/>
      <c r="H48" s="1498"/>
      <c r="I48" s="1498"/>
      <c r="J48" s="1498"/>
      <c r="K48" s="1499"/>
      <c r="L48" s="1255">
        <v>0</v>
      </c>
      <c r="M48" s="232"/>
      <c r="N48" s="1259">
        <v>0</v>
      </c>
      <c r="O48" s="1241">
        <v>0</v>
      </c>
      <c r="P48" s="1241">
        <v>0</v>
      </c>
      <c r="Q48" s="1705">
        <v>0</v>
      </c>
      <c r="R48" s="1260">
        <v>0</v>
      </c>
      <c r="S48" s="200"/>
    </row>
    <row r="49" spans="2:19" x14ac:dyDescent="0.25">
      <c r="B49" s="226"/>
      <c r="C49" s="378"/>
      <c r="D49" s="378"/>
      <c r="E49" s="378"/>
      <c r="F49" s="1497" t="s">
        <v>356</v>
      </c>
      <c r="G49" s="1498"/>
      <c r="H49" s="1498"/>
      <c r="I49" s="1498"/>
      <c r="J49" s="1498"/>
      <c r="K49" s="1499"/>
      <c r="L49" s="1255">
        <v>0</v>
      </c>
      <c r="M49" s="232"/>
      <c r="N49" s="1259">
        <v>0</v>
      </c>
      <c r="O49" s="1241">
        <v>0</v>
      </c>
      <c r="P49" s="1241">
        <v>0</v>
      </c>
      <c r="Q49" s="1705">
        <v>0</v>
      </c>
      <c r="R49" s="1260">
        <v>0</v>
      </c>
      <c r="S49" s="200"/>
    </row>
    <row r="50" spans="2:19" x14ac:dyDescent="0.25">
      <c r="B50" s="226"/>
      <c r="C50" s="378"/>
      <c r="D50" s="378"/>
      <c r="E50" s="378"/>
      <c r="F50" s="1497" t="s">
        <v>357</v>
      </c>
      <c r="G50" s="1498"/>
      <c r="H50" s="1498"/>
      <c r="I50" s="1498"/>
      <c r="J50" s="1498"/>
      <c r="K50" s="1499"/>
      <c r="L50" s="1255">
        <v>0</v>
      </c>
      <c r="M50" s="232"/>
      <c r="N50" s="1259">
        <v>0</v>
      </c>
      <c r="O50" s="1241">
        <v>0</v>
      </c>
      <c r="P50" s="1241">
        <v>0</v>
      </c>
      <c r="Q50" s="1705">
        <v>0</v>
      </c>
      <c r="R50" s="1260">
        <v>0</v>
      </c>
      <c r="S50" s="200"/>
    </row>
    <row r="51" spans="2:19" x14ac:dyDescent="0.25">
      <c r="B51" s="226"/>
      <c r="C51" s="378"/>
      <c r="D51" s="378"/>
      <c r="E51" s="378"/>
      <c r="F51" s="1864" t="s">
        <v>358</v>
      </c>
      <c r="G51" s="378"/>
      <c r="H51" s="378"/>
      <c r="I51" s="378"/>
      <c r="J51" s="378"/>
      <c r="K51" s="378"/>
      <c r="L51" s="1255">
        <v>0</v>
      </c>
      <c r="M51" s="232"/>
      <c r="N51" s="1259">
        <v>0</v>
      </c>
      <c r="O51" s="1241">
        <v>0</v>
      </c>
      <c r="P51" s="1241">
        <v>0</v>
      </c>
      <c r="Q51" s="1705">
        <v>0</v>
      </c>
      <c r="R51" s="1260">
        <v>0</v>
      </c>
      <c r="S51" s="200"/>
    </row>
    <row r="52" spans="2:19" x14ac:dyDescent="0.25">
      <c r="B52" s="226"/>
      <c r="C52" s="378"/>
      <c r="D52" s="378"/>
      <c r="E52" s="378"/>
      <c r="F52" s="1864" t="s">
        <v>428</v>
      </c>
      <c r="G52" s="2550"/>
      <c r="H52" s="2551"/>
      <c r="I52" s="2551"/>
      <c r="J52" s="2551"/>
      <c r="K52" s="2552"/>
      <c r="L52" s="1255">
        <v>0</v>
      </c>
      <c r="M52" s="232"/>
      <c r="N52" s="1259">
        <v>0</v>
      </c>
      <c r="O52" s="1241">
        <v>0</v>
      </c>
      <c r="P52" s="1241">
        <v>0</v>
      </c>
      <c r="Q52" s="1705">
        <v>0</v>
      </c>
      <c r="R52" s="1260">
        <v>0</v>
      </c>
      <c r="S52" s="200"/>
    </row>
    <row r="53" spans="2:19" x14ac:dyDescent="0.25">
      <c r="B53" s="226"/>
      <c r="C53" s="378"/>
      <c r="D53" s="378"/>
      <c r="E53" s="378"/>
      <c r="F53" s="1864" t="s">
        <v>428</v>
      </c>
      <c r="G53" s="2553"/>
      <c r="H53" s="2554"/>
      <c r="I53" s="2554"/>
      <c r="J53" s="2554"/>
      <c r="K53" s="2555"/>
      <c r="L53" s="1255">
        <v>0</v>
      </c>
      <c r="M53" s="232"/>
      <c r="N53" s="1259">
        <v>0</v>
      </c>
      <c r="O53" s="1241">
        <v>0</v>
      </c>
      <c r="P53" s="1241">
        <v>0</v>
      </c>
      <c r="Q53" s="1705">
        <v>0</v>
      </c>
      <c r="R53" s="1260">
        <v>0</v>
      </c>
      <c r="S53" s="200"/>
    </row>
    <row r="54" spans="2:19" x14ac:dyDescent="0.25">
      <c r="B54" s="226"/>
      <c r="C54" s="378"/>
      <c r="D54" s="378"/>
      <c r="E54" s="378"/>
      <c r="F54" s="1864" t="s">
        <v>428</v>
      </c>
      <c r="G54" s="2538"/>
      <c r="H54" s="2539"/>
      <c r="I54" s="2539"/>
      <c r="J54" s="2539"/>
      <c r="K54" s="2540"/>
      <c r="L54" s="1255">
        <v>0</v>
      </c>
      <c r="M54" s="232"/>
      <c r="N54" s="1259">
        <v>0</v>
      </c>
      <c r="O54" s="1241">
        <v>0</v>
      </c>
      <c r="P54" s="1241">
        <v>0</v>
      </c>
      <c r="Q54" s="1705">
        <v>0</v>
      </c>
      <c r="R54" s="1260">
        <v>0</v>
      </c>
      <c r="S54" s="200"/>
    </row>
    <row r="55" spans="2:19" ht="15.75" thickBot="1" x14ac:dyDescent="0.3">
      <c r="B55" s="226"/>
      <c r="C55" s="378"/>
      <c r="D55" s="378"/>
      <c r="E55" s="378"/>
      <c r="F55" s="2536" t="s">
        <v>1133</v>
      </c>
      <c r="G55" s="2536"/>
      <c r="H55" s="2536"/>
      <c r="I55" s="378"/>
      <c r="J55" s="378"/>
      <c r="K55" s="378"/>
      <c r="L55" s="1256">
        <v>0</v>
      </c>
      <c r="M55" s="232"/>
      <c r="N55" s="1261">
        <v>0</v>
      </c>
      <c r="O55" s="1262">
        <v>0</v>
      </c>
      <c r="P55" s="1262">
        <v>0</v>
      </c>
      <c r="Q55" s="1709">
        <v>0</v>
      </c>
      <c r="R55" s="1263">
        <v>0</v>
      </c>
      <c r="S55" s="200"/>
    </row>
    <row r="56" spans="2:19" ht="17.25" thickTop="1" thickBot="1" x14ac:dyDescent="0.3">
      <c r="B56" s="226"/>
      <c r="C56" s="230"/>
      <c r="D56" s="230"/>
      <c r="E56" s="231"/>
      <c r="F56" s="2558" t="s">
        <v>1443</v>
      </c>
      <c r="G56" s="2559"/>
      <c r="H56" s="2559"/>
      <c r="I56" s="2559"/>
      <c r="J56" s="2559"/>
      <c r="K56" s="2560"/>
      <c r="L56" s="1264">
        <f>(SUM(L46:L55))</f>
        <v>0</v>
      </c>
      <c r="M56" s="234"/>
      <c r="N56" s="1265">
        <f>(SUM(N46:N55))</f>
        <v>0</v>
      </c>
      <c r="O56" s="1266">
        <f>(SUM(O46:O55))</f>
        <v>0</v>
      </c>
      <c r="P56" s="1266">
        <f>(SUM(P46:P55))</f>
        <v>0</v>
      </c>
      <c r="Q56" s="1266">
        <f>(SUM(Q46:Q55))</f>
        <v>0</v>
      </c>
      <c r="R56" s="1267">
        <f>(SUM(R46:R55))</f>
        <v>0</v>
      </c>
      <c r="S56" s="200"/>
    </row>
    <row r="57" spans="2:19" ht="15.75" customHeight="1" x14ac:dyDescent="0.25">
      <c r="B57" s="226"/>
      <c r="C57" s="230"/>
      <c r="D57" s="230"/>
      <c r="E57" s="231"/>
      <c r="F57" s="2561" t="str">
        <f>IF(L56&gt;(SUM(N56:R56)),"WARNING - Non-Personnel Service Costs Exceed Listed Funding",(IF(AND(L56&lt;&gt;0,L56&lt;=(SUM(N56:R56))),"Non-Personnel Service Costs Are Covered By Listed Funding","")))</f>
        <v/>
      </c>
      <c r="G57" s="2561"/>
      <c r="H57" s="2561"/>
      <c r="I57" s="2561"/>
      <c r="J57" s="2561"/>
      <c r="K57" s="2561"/>
      <c r="L57" s="2561"/>
      <c r="M57" s="1036"/>
      <c r="N57" s="2556" t="str">
        <f>IF((ROUND(SUM(O56:R56),0))+(ROUND(SUM(O42:R42),0))&lt;&gt;(ROUND('8B'!F39,0)),"WARNING - Total for non-Cash Flow sources does not match Total for Services Subsidy on 8B","")</f>
        <v/>
      </c>
      <c r="O57" s="2556"/>
      <c r="P57" s="2556"/>
      <c r="Q57" s="2556"/>
      <c r="R57" s="2556"/>
      <c r="S57" s="200"/>
    </row>
    <row r="58" spans="2:19" ht="15.75" x14ac:dyDescent="0.25">
      <c r="B58" s="215"/>
      <c r="C58" s="2167" t="s">
        <v>511</v>
      </c>
      <c r="D58" s="2167"/>
      <c r="E58" s="2167"/>
      <c r="F58" s="2167"/>
      <c r="G58" s="2167"/>
      <c r="H58" s="2167"/>
      <c r="I58" s="2167"/>
      <c r="J58" s="2167"/>
      <c r="K58" s="2167"/>
      <c r="L58" s="1035"/>
      <c r="M58" s="2167"/>
      <c r="N58" s="2557"/>
      <c r="O58" s="2557"/>
      <c r="P58" s="2557"/>
      <c r="Q58" s="2557"/>
      <c r="R58" s="2557"/>
      <c r="S58" s="200"/>
    </row>
    <row r="59" spans="2:19" ht="3.75" customHeight="1" thickBot="1" x14ac:dyDescent="0.3">
      <c r="B59" s="215"/>
      <c r="C59" s="2167"/>
      <c r="D59" s="2167"/>
      <c r="E59" s="2167"/>
      <c r="F59" s="2167"/>
      <c r="G59" s="2167"/>
      <c r="H59" s="2167"/>
      <c r="I59" s="2167"/>
      <c r="J59" s="2167"/>
      <c r="K59" s="2167"/>
      <c r="L59" s="1035"/>
      <c r="M59" s="2167"/>
      <c r="N59" s="2168"/>
      <c r="O59" s="2168"/>
      <c r="P59" s="2168"/>
      <c r="Q59" s="2168"/>
      <c r="R59" s="2168"/>
      <c r="S59" s="200"/>
    </row>
    <row r="60" spans="2:19" x14ac:dyDescent="0.25">
      <c r="B60" s="215"/>
      <c r="C60" s="2541"/>
      <c r="D60" s="2542"/>
      <c r="E60" s="2542"/>
      <c r="F60" s="2542"/>
      <c r="G60" s="2542"/>
      <c r="H60" s="2542"/>
      <c r="I60" s="2542"/>
      <c r="J60" s="2542"/>
      <c r="K60" s="2542"/>
      <c r="L60" s="2542"/>
      <c r="M60" s="2542"/>
      <c r="N60" s="2542"/>
      <c r="O60" s="2542"/>
      <c r="P60" s="2543"/>
      <c r="Q60" s="1957"/>
      <c r="R60" s="568"/>
      <c r="S60" s="200"/>
    </row>
    <row r="61" spans="2:19" x14ac:dyDescent="0.25">
      <c r="B61" s="215"/>
      <c r="C61" s="2544"/>
      <c r="D61" s="2300"/>
      <c r="E61" s="2300"/>
      <c r="F61" s="2300"/>
      <c r="G61" s="2300"/>
      <c r="H61" s="2300"/>
      <c r="I61" s="2300"/>
      <c r="J61" s="2300"/>
      <c r="K61" s="2300"/>
      <c r="L61" s="2300"/>
      <c r="M61" s="2300"/>
      <c r="N61" s="2300"/>
      <c r="O61" s="2300"/>
      <c r="P61" s="2545"/>
      <c r="Q61" s="1957"/>
      <c r="R61" s="568"/>
      <c r="S61" s="200"/>
    </row>
    <row r="62" spans="2:19" x14ac:dyDescent="0.25">
      <c r="B62" s="215"/>
      <c r="C62" s="2544"/>
      <c r="D62" s="2300"/>
      <c r="E62" s="2300"/>
      <c r="F62" s="2300"/>
      <c r="G62" s="2300"/>
      <c r="H62" s="2300"/>
      <c r="I62" s="2300"/>
      <c r="J62" s="2300"/>
      <c r="K62" s="2300"/>
      <c r="L62" s="2300"/>
      <c r="M62" s="2300"/>
      <c r="N62" s="2300"/>
      <c r="O62" s="2300"/>
      <c r="P62" s="2545"/>
      <c r="Q62" s="1957"/>
      <c r="R62" s="568"/>
      <c r="S62" s="200"/>
    </row>
    <row r="63" spans="2:19" x14ac:dyDescent="0.25">
      <c r="B63" s="215"/>
      <c r="C63" s="2544"/>
      <c r="D63" s="2300"/>
      <c r="E63" s="2300"/>
      <c r="F63" s="2300"/>
      <c r="G63" s="2300"/>
      <c r="H63" s="2300"/>
      <c r="I63" s="2300"/>
      <c r="J63" s="2300"/>
      <c r="K63" s="2300"/>
      <c r="L63" s="2300"/>
      <c r="M63" s="2300"/>
      <c r="N63" s="2300"/>
      <c r="O63" s="2300"/>
      <c r="P63" s="2545"/>
      <c r="Q63" s="1957"/>
      <c r="R63" s="568"/>
      <c r="S63" s="200"/>
    </row>
    <row r="64" spans="2:19" ht="15.75" thickBot="1" x14ac:dyDescent="0.3">
      <c r="B64" s="215"/>
      <c r="C64" s="2546"/>
      <c r="D64" s="2547"/>
      <c r="E64" s="2547"/>
      <c r="F64" s="2547"/>
      <c r="G64" s="2547"/>
      <c r="H64" s="2547"/>
      <c r="I64" s="2547"/>
      <c r="J64" s="2548"/>
      <c r="K64" s="2547"/>
      <c r="L64" s="2547"/>
      <c r="M64" s="2547"/>
      <c r="N64" s="2547"/>
      <c r="O64" s="2547"/>
      <c r="P64" s="2549"/>
      <c r="Q64" s="1957"/>
      <c r="R64" s="568"/>
      <c r="S64" s="200"/>
    </row>
    <row r="65" spans="2:19" ht="9" customHeight="1" thickBot="1" x14ac:dyDescent="0.3">
      <c r="B65" s="600"/>
      <c r="C65" s="205"/>
      <c r="D65" s="205"/>
      <c r="E65" s="603"/>
      <c r="F65" s="603"/>
      <c r="G65" s="604"/>
      <c r="H65" s="605"/>
      <c r="I65" s="605"/>
      <c r="J65" s="605"/>
      <c r="K65" s="606"/>
      <c r="L65" s="604"/>
      <c r="M65" s="604"/>
      <c r="N65" s="607"/>
      <c r="O65" s="603"/>
      <c r="P65" s="604"/>
      <c r="Q65" s="604"/>
      <c r="R65" s="205"/>
      <c r="S65" s="206"/>
    </row>
  </sheetData>
  <sheetProtection algorithmName="SHA-512" hashValue="RWHWxah3b3tgxqHy1ro6jzzptarbmhk9kPUhMcSvhGZqJj6qVOV/KJBNoxQfG4Q9ZZY1ITlpQhPz6DFcxK2OYw==" saltValue="m/gn/g4VZ2px/zP//xNysg==" spinCount="100000" sheet="1" formatCells="0" formatColumns="0" formatRows="0" insertRows="0"/>
  <mergeCells count="36">
    <mergeCell ref="H28:L28"/>
    <mergeCell ref="U43:Z46"/>
    <mergeCell ref="F43:L43"/>
    <mergeCell ref="C45:L45"/>
    <mergeCell ref="C12:L12"/>
    <mergeCell ref="C42:F42"/>
    <mergeCell ref="N31:R31"/>
    <mergeCell ref="C31:L31"/>
    <mergeCell ref="N28:R29"/>
    <mergeCell ref="N43:R43"/>
    <mergeCell ref="C32:D32"/>
    <mergeCell ref="C33:D33"/>
    <mergeCell ref="C34:D34"/>
    <mergeCell ref="C40:D40"/>
    <mergeCell ref="C41:D41"/>
    <mergeCell ref="C35:D35"/>
    <mergeCell ref="C10:R10"/>
    <mergeCell ref="C14:L14"/>
    <mergeCell ref="N14:R14"/>
    <mergeCell ref="C27:G27"/>
    <mergeCell ref="I25:K25"/>
    <mergeCell ref="I26:K26"/>
    <mergeCell ref="F55:H55"/>
    <mergeCell ref="F46:H46"/>
    <mergeCell ref="G54:K54"/>
    <mergeCell ref="C60:P64"/>
    <mergeCell ref="G52:K52"/>
    <mergeCell ref="G53:K53"/>
    <mergeCell ref="N57:R58"/>
    <mergeCell ref="F56:K56"/>
    <mergeCell ref="F57:L57"/>
    <mergeCell ref="C36:D36"/>
    <mergeCell ref="C37:D37"/>
    <mergeCell ref="C38:D38"/>
    <mergeCell ref="C39:D39"/>
    <mergeCell ref="F48:G48"/>
  </mergeCells>
  <conditionalFormatting sqref="K16:K24">
    <cfRule type="expression" dxfId="23" priority="21">
      <formula>$I16="Actual"</formula>
    </cfRule>
    <cfRule type="expression" dxfId="22" priority="25">
      <formula>$I16&lt;&gt;"Actual"</formula>
    </cfRule>
  </conditionalFormatting>
  <conditionalFormatting sqref="J16:J24">
    <cfRule type="expression" dxfId="21" priority="22">
      <formula>$I16="Actual"</formula>
    </cfRule>
    <cfRule type="expression" dxfId="20" priority="23">
      <formula>$I16&lt;&gt;"Percent"</formula>
    </cfRule>
  </conditionalFormatting>
  <conditionalFormatting sqref="K33:K41">
    <cfRule type="expression" dxfId="19" priority="17">
      <formula>$I33="Actual"</formula>
    </cfRule>
    <cfRule type="expression" dxfId="18" priority="20">
      <formula>$I33&lt;&gt;"Actual"</formula>
    </cfRule>
  </conditionalFormatting>
  <conditionalFormatting sqref="J33:J41">
    <cfRule type="expression" dxfId="17" priority="18">
      <formula>$I33="Actual"</formula>
    </cfRule>
    <cfRule type="expression" dxfId="16" priority="19">
      <formula>$I33&lt;&gt;"Percent"</formula>
    </cfRule>
  </conditionalFormatting>
  <conditionalFormatting sqref="H28">
    <cfRule type="containsText" dxfId="15" priority="11" operator="containsText" text="covered">
      <formula>NOT(ISERROR(SEARCH("covered",H28)))</formula>
    </cfRule>
    <cfRule type="containsText" dxfId="14" priority="12" operator="containsText" text="exceed">
      <formula>NOT(ISERROR(SEARCH("exceed",H28)))</formula>
    </cfRule>
  </conditionalFormatting>
  <conditionalFormatting sqref="F57 F43">
    <cfRule type="containsText" dxfId="13" priority="7" operator="containsText" text="exceed">
      <formula>NOT(ISERROR(SEARCH("exceed",F43)))</formula>
    </cfRule>
    <cfRule type="containsText" dxfId="12" priority="8" operator="containsText" text="covered">
      <formula>NOT(ISERROR(SEARCH("covered",F43)))</formula>
    </cfRule>
  </conditionalFormatting>
  <conditionalFormatting sqref="N28:R30">
    <cfRule type="containsText" dxfId="11" priority="4" operator="containsText" text="warning">
      <formula>NOT(ISERROR(SEARCH("warning",N28)))</formula>
    </cfRule>
  </conditionalFormatting>
  <conditionalFormatting sqref="N57:R59">
    <cfRule type="containsText" dxfId="10" priority="3" operator="containsText" text="warning">
      <formula>NOT(ISERROR(SEARCH("warning",N57)))</formula>
    </cfRule>
  </conditionalFormatting>
  <conditionalFormatting sqref="G52:K52">
    <cfRule type="expression" dxfId="9" priority="2">
      <formula>AND($L$52&lt;&gt;0,$G$52="")</formula>
    </cfRule>
  </conditionalFormatting>
  <conditionalFormatting sqref="G53:K54">
    <cfRule type="expression" dxfId="8" priority="1">
      <formula>AND($L$52&lt;&gt;0,$G$52="")</formula>
    </cfRule>
  </conditionalFormatting>
  <dataValidations disablePrompts="1" count="2">
    <dataValidation type="list" allowBlank="1" showInputMessage="1" showErrorMessage="1" sqref="D16:D24" xr:uid="{00000000-0002-0000-1B00-000000000000}">
      <formula1>OnSite_OffSite</formula1>
    </dataValidation>
    <dataValidation type="list" allowBlank="1" showInputMessage="1" showErrorMessage="1" sqref="I16:I24 I33:I41" xr:uid="{00000000-0002-0000-1B00-000001000000}">
      <formula1>Actual_or_Percent</formula1>
    </dataValidation>
  </dataValidations>
  <pageMargins left="0.25" right="0.25" top="0.75" bottom="0.75" header="0.3" footer="0.3"/>
  <pageSetup scale="61" orientation="portrait" r:id="rId1"/>
  <headerFooter>
    <oddFooter>&amp;LForm 8C
Personnel (Services and Operating) and Non-Personnel Expenses&amp;CCFA Forms</oddFooter>
  </headerFooter>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2:W148"/>
  <sheetViews>
    <sheetView showGridLines="0" topLeftCell="A19" zoomScaleNormal="100" workbookViewId="0">
      <selection activeCell="K119" sqref="K119"/>
    </sheetView>
  </sheetViews>
  <sheetFormatPr defaultColWidth="9.140625" defaultRowHeight="15" x14ac:dyDescent="0.25"/>
  <cols>
    <col min="1" max="2" width="1.7109375" style="396" customWidth="1"/>
    <col min="3" max="3" width="14.28515625" style="396" customWidth="1"/>
    <col min="4" max="4" width="9.140625" style="396" customWidth="1"/>
    <col min="5" max="5" width="1.42578125" style="396" customWidth="1"/>
    <col min="6" max="7" width="9.140625" style="396"/>
    <col min="8" max="8" width="10.7109375" style="396" bestFit="1" customWidth="1"/>
    <col min="9" max="22" width="12.5703125" style="396" bestFit="1" customWidth="1"/>
    <col min="23" max="23" width="1.5703125" style="396" customWidth="1"/>
    <col min="24" max="16384" width="9.140625" style="396"/>
  </cols>
  <sheetData>
    <row r="12" spans="2:23" ht="15.75" thickBot="1" x14ac:dyDescent="0.3"/>
    <row r="13" spans="2:23" ht="9" customHeight="1" x14ac:dyDescent="0.25">
      <c r="B13" s="253"/>
      <c r="C13" s="727"/>
      <c r="D13" s="727"/>
      <c r="E13" s="727"/>
      <c r="F13" s="727"/>
      <c r="G13" s="727"/>
      <c r="H13" s="727"/>
      <c r="I13" s="727"/>
      <c r="J13" s="727"/>
      <c r="K13" s="727"/>
      <c r="L13" s="727"/>
      <c r="M13" s="727"/>
      <c r="N13" s="727"/>
      <c r="O13" s="727"/>
      <c r="P13" s="727"/>
      <c r="Q13" s="727"/>
      <c r="R13" s="727"/>
      <c r="S13" s="727"/>
      <c r="T13" s="727"/>
      <c r="U13" s="727"/>
      <c r="V13" s="727"/>
      <c r="W13" s="254"/>
    </row>
    <row r="14" spans="2:23" ht="18.75" x14ac:dyDescent="0.3">
      <c r="B14" s="255"/>
      <c r="C14" s="2421" t="s">
        <v>1449</v>
      </c>
      <c r="D14" s="2421"/>
      <c r="E14" s="2421"/>
      <c r="F14" s="2421"/>
      <c r="G14" s="2421"/>
      <c r="H14" s="2421"/>
      <c r="I14" s="2421"/>
      <c r="J14" s="2421"/>
      <c r="K14" s="2421"/>
      <c r="L14" s="2421"/>
      <c r="M14" s="2421"/>
      <c r="N14" s="2421"/>
      <c r="O14" s="2421"/>
      <c r="P14" s="2421"/>
      <c r="Q14" s="2421"/>
      <c r="R14" s="2421"/>
      <c r="S14" s="2421"/>
      <c r="T14" s="2421"/>
      <c r="U14" s="2421"/>
      <c r="V14" s="2421"/>
      <c r="W14" s="257"/>
    </row>
    <row r="15" spans="2:23" ht="7.5" customHeight="1" x14ac:dyDescent="0.25">
      <c r="B15" s="255"/>
      <c r="C15" s="256"/>
      <c r="D15" s="256"/>
      <c r="E15" s="256"/>
      <c r="F15" s="256"/>
      <c r="G15" s="256"/>
      <c r="H15" s="256"/>
      <c r="I15" s="256"/>
      <c r="J15" s="256"/>
      <c r="K15" s="256"/>
      <c r="L15" s="256"/>
      <c r="M15" s="256"/>
      <c r="N15" s="256"/>
      <c r="O15" s="256"/>
      <c r="P15" s="256"/>
      <c r="Q15" s="256"/>
      <c r="R15" s="256"/>
      <c r="S15" s="256"/>
      <c r="T15" s="256"/>
      <c r="U15" s="256"/>
      <c r="V15" s="256"/>
      <c r="W15" s="257"/>
    </row>
    <row r="16" spans="2:23" ht="15.75" thickBot="1" x14ac:dyDescent="0.3">
      <c r="B16" s="255"/>
      <c r="C16" s="2410" t="str">
        <f>IF('1'!G5="","Enter Project Name on Form 1",(CONCATENATE("Project Name: ",'1'!G5)))</f>
        <v>Enter Project Name on Form 1</v>
      </c>
      <c r="D16" s="2410"/>
      <c r="E16" s="2410"/>
      <c r="F16" s="2410"/>
      <c r="G16" s="2410"/>
      <c r="H16" s="2410"/>
      <c r="I16" s="2410"/>
      <c r="J16" s="2410"/>
      <c r="K16" s="2410"/>
      <c r="L16" s="2410"/>
      <c r="M16" s="2410"/>
      <c r="N16" s="492"/>
      <c r="O16" s="492"/>
      <c r="P16" s="492"/>
      <c r="Q16" s="492"/>
      <c r="R16" s="492"/>
      <c r="S16" s="492"/>
      <c r="T16" s="492"/>
      <c r="U16" s="492"/>
      <c r="V16" s="492"/>
      <c r="W16" s="257"/>
    </row>
    <row r="17" spans="2:23" ht="3.75" customHeight="1" x14ac:dyDescent="0.25">
      <c r="B17" s="255"/>
      <c r="C17" s="492"/>
      <c r="D17" s="492"/>
      <c r="E17" s="492"/>
      <c r="F17" s="492"/>
      <c r="G17" s="492"/>
      <c r="H17" s="422"/>
      <c r="I17" s="422"/>
      <c r="J17" s="422"/>
      <c r="K17" s="422"/>
      <c r="L17" s="492"/>
      <c r="M17" s="492"/>
      <c r="N17" s="492"/>
      <c r="O17" s="492"/>
      <c r="P17" s="492"/>
      <c r="Q17" s="492"/>
      <c r="R17" s="492"/>
      <c r="S17" s="492"/>
      <c r="T17" s="492"/>
      <c r="U17" s="492"/>
      <c r="V17" s="492"/>
      <c r="W17" s="257"/>
    </row>
    <row r="18" spans="2:23" x14ac:dyDescent="0.25">
      <c r="B18" s="258"/>
      <c r="C18" s="2258" t="s">
        <v>359</v>
      </c>
      <c r="D18" s="728"/>
      <c r="E18" s="256"/>
      <c r="F18" s="256"/>
      <c r="G18" s="256"/>
      <c r="H18" s="259"/>
      <c r="I18" s="259"/>
      <c r="J18" s="259"/>
      <c r="K18" s="259"/>
      <c r="L18" s="259"/>
      <c r="M18" s="260"/>
      <c r="N18" s="259"/>
      <c r="O18" s="259"/>
      <c r="P18" s="259"/>
      <c r="Q18" s="259"/>
      <c r="R18" s="259"/>
      <c r="S18" s="259"/>
      <c r="T18" s="259"/>
      <c r="U18" s="259"/>
      <c r="V18" s="259"/>
      <c r="W18" s="261"/>
    </row>
    <row r="19" spans="2:23" ht="7.5" customHeight="1" x14ac:dyDescent="0.25">
      <c r="B19" s="258"/>
      <c r="C19" s="262"/>
      <c r="D19" s="259"/>
      <c r="E19" s="256"/>
      <c r="F19" s="256"/>
      <c r="G19" s="256"/>
      <c r="H19" s="259"/>
      <c r="I19" s="259"/>
      <c r="J19" s="259"/>
      <c r="K19" s="259"/>
      <c r="L19" s="259"/>
      <c r="M19" s="260"/>
      <c r="N19" s="259"/>
      <c r="O19" s="259"/>
      <c r="P19" s="259"/>
      <c r="Q19" s="259"/>
      <c r="R19" s="259"/>
      <c r="S19" s="259"/>
      <c r="T19" s="259"/>
      <c r="U19" s="259"/>
      <c r="V19" s="259"/>
      <c r="W19" s="261"/>
    </row>
    <row r="20" spans="2:23" ht="15.75" thickBot="1" x14ac:dyDescent="0.3">
      <c r="B20" s="258"/>
      <c r="C20" s="291" t="s">
        <v>360</v>
      </c>
      <c r="D20" s="237"/>
      <c r="E20" s="236"/>
      <c r="F20" s="236"/>
      <c r="G20" s="236"/>
      <c r="H20" s="237"/>
      <c r="I20" s="237"/>
      <c r="J20" s="237"/>
      <c r="K20" s="237"/>
      <c r="L20" s="237"/>
      <c r="M20" s="238"/>
      <c r="N20" s="237"/>
      <c r="O20" s="237"/>
      <c r="P20" s="237"/>
      <c r="Q20" s="237"/>
      <c r="R20" s="237"/>
      <c r="S20" s="237"/>
      <c r="T20" s="237"/>
      <c r="U20" s="237"/>
      <c r="V20" s="237"/>
      <c r="W20" s="261"/>
    </row>
    <row r="21" spans="2:23" ht="15.75" thickBot="1" x14ac:dyDescent="0.3">
      <c r="B21" s="729"/>
      <c r="C21" s="422"/>
      <c r="D21" s="256"/>
      <c r="E21" s="422"/>
      <c r="F21" s="422"/>
      <c r="G21" s="422"/>
      <c r="H21" s="239" t="s">
        <v>361</v>
      </c>
      <c r="I21" s="730" t="s">
        <v>362</v>
      </c>
      <c r="J21" s="730" t="s">
        <v>363</v>
      </c>
      <c r="K21" s="730" t="s">
        <v>364</v>
      </c>
      <c r="L21" s="730" t="s">
        <v>365</v>
      </c>
      <c r="M21" s="730" t="s">
        <v>366</v>
      </c>
      <c r="N21" s="730" t="s">
        <v>367</v>
      </c>
      <c r="O21" s="730" t="s">
        <v>420</v>
      </c>
      <c r="P21" s="730" t="s">
        <v>421</v>
      </c>
      <c r="Q21" s="730" t="s">
        <v>422</v>
      </c>
      <c r="R21" s="730" t="s">
        <v>423</v>
      </c>
      <c r="S21" s="730" t="s">
        <v>424</v>
      </c>
      <c r="T21" s="730" t="s">
        <v>425</v>
      </c>
      <c r="U21" s="730" t="s">
        <v>426</v>
      </c>
      <c r="V21" s="731" t="s">
        <v>427</v>
      </c>
      <c r="W21" s="1602"/>
    </row>
    <row r="22" spans="2:23" ht="15.75" thickBot="1" x14ac:dyDescent="0.3">
      <c r="B22" s="729"/>
      <c r="C22" s="263" t="s">
        <v>368</v>
      </c>
      <c r="D22" s="422"/>
      <c r="E22" s="422"/>
      <c r="F22" s="378"/>
      <c r="G22" s="732" t="s">
        <v>369</v>
      </c>
      <c r="H22" s="733"/>
      <c r="I22" s="240"/>
      <c r="J22" s="240"/>
      <c r="K22" s="240"/>
      <c r="L22" s="240"/>
      <c r="M22" s="240"/>
      <c r="N22" s="240"/>
      <c r="O22" s="240"/>
      <c r="P22" s="240"/>
      <c r="Q22" s="240"/>
      <c r="R22" s="240"/>
      <c r="S22" s="240"/>
      <c r="T22" s="240"/>
      <c r="U22" s="240"/>
      <c r="V22" s="734"/>
      <c r="W22" s="1602"/>
    </row>
    <row r="23" spans="2:23" x14ac:dyDescent="0.25">
      <c r="B23" s="729"/>
      <c r="C23" s="264" t="s">
        <v>1438</v>
      </c>
      <c r="D23" s="608"/>
      <c r="E23" s="609"/>
      <c r="F23" s="1681"/>
      <c r="G23" s="1986"/>
      <c r="H23" s="1135">
        <f>'8A'!M30</f>
        <v>0</v>
      </c>
      <c r="I23" s="1136">
        <f t="shared" ref="I23:V24" si="0">H23+(H23*$G23)</f>
        <v>0</v>
      </c>
      <c r="J23" s="1136">
        <f t="shared" si="0"/>
        <v>0</v>
      </c>
      <c r="K23" s="1136">
        <f t="shared" si="0"/>
        <v>0</v>
      </c>
      <c r="L23" s="1136">
        <f t="shared" si="0"/>
        <v>0</v>
      </c>
      <c r="M23" s="1136">
        <f t="shared" si="0"/>
        <v>0</v>
      </c>
      <c r="N23" s="1136">
        <f t="shared" si="0"/>
        <v>0</v>
      </c>
      <c r="O23" s="1136">
        <f t="shared" si="0"/>
        <v>0</v>
      </c>
      <c r="P23" s="1136">
        <f t="shared" si="0"/>
        <v>0</v>
      </c>
      <c r="Q23" s="1136">
        <f t="shared" si="0"/>
        <v>0</v>
      </c>
      <c r="R23" s="1136">
        <f t="shared" si="0"/>
        <v>0</v>
      </c>
      <c r="S23" s="1136">
        <f t="shared" si="0"/>
        <v>0</v>
      </c>
      <c r="T23" s="1136">
        <f t="shared" si="0"/>
        <v>0</v>
      </c>
      <c r="U23" s="1136">
        <f t="shared" si="0"/>
        <v>0</v>
      </c>
      <c r="V23" s="1137">
        <f t="shared" si="0"/>
        <v>0</v>
      </c>
      <c r="W23" s="1602"/>
    </row>
    <row r="24" spans="2:23" x14ac:dyDescent="0.25">
      <c r="B24" s="729"/>
      <c r="C24" s="2616" t="s">
        <v>1439</v>
      </c>
      <c r="D24" s="2616"/>
      <c r="E24" s="2616"/>
      <c r="F24" s="2617"/>
      <c r="G24" s="1987"/>
      <c r="H24" s="1138">
        <f>'8A'!N30</f>
        <v>0</v>
      </c>
      <c r="I24" s="1136">
        <f>H24+(H24*$G24)</f>
        <v>0</v>
      </c>
      <c r="J24" s="1136">
        <f t="shared" si="0"/>
        <v>0</v>
      </c>
      <c r="K24" s="1136">
        <f t="shared" si="0"/>
        <v>0</v>
      </c>
      <c r="L24" s="1136">
        <f t="shared" si="0"/>
        <v>0</v>
      </c>
      <c r="M24" s="1136">
        <f t="shared" si="0"/>
        <v>0</v>
      </c>
      <c r="N24" s="1136">
        <f t="shared" si="0"/>
        <v>0</v>
      </c>
      <c r="O24" s="1136">
        <f t="shared" si="0"/>
        <v>0</v>
      </c>
      <c r="P24" s="1136">
        <f t="shared" si="0"/>
        <v>0</v>
      </c>
      <c r="Q24" s="1136">
        <f t="shared" si="0"/>
        <v>0</v>
      </c>
      <c r="R24" s="1136">
        <f t="shared" si="0"/>
        <v>0</v>
      </c>
      <c r="S24" s="1136">
        <f t="shared" si="0"/>
        <v>0</v>
      </c>
      <c r="T24" s="1136">
        <f t="shared" si="0"/>
        <v>0</v>
      </c>
      <c r="U24" s="1136">
        <f t="shared" si="0"/>
        <v>0</v>
      </c>
      <c r="V24" s="1137">
        <f t="shared" si="0"/>
        <v>0</v>
      </c>
      <c r="W24" s="1602"/>
    </row>
    <row r="25" spans="2:23" ht="15.75" thickBot="1" x14ac:dyDescent="0.3">
      <c r="B25" s="729"/>
      <c r="C25" s="2618" t="s">
        <v>1440</v>
      </c>
      <c r="D25" s="2618"/>
      <c r="E25" s="2618"/>
      <c r="F25" s="2619"/>
      <c r="G25" s="1988"/>
      <c r="H25" s="1138">
        <f>'8B'!F21</f>
        <v>0</v>
      </c>
      <c r="I25" s="1139">
        <f>H25+(H25*$G25)</f>
        <v>0</v>
      </c>
      <c r="J25" s="1139">
        <f t="shared" ref="J25:V25" si="1">I25+(I25*$G25)</f>
        <v>0</v>
      </c>
      <c r="K25" s="1139">
        <f t="shared" si="1"/>
        <v>0</v>
      </c>
      <c r="L25" s="1139">
        <f t="shared" si="1"/>
        <v>0</v>
      </c>
      <c r="M25" s="1139">
        <f t="shared" si="1"/>
        <v>0</v>
      </c>
      <c r="N25" s="1139">
        <f t="shared" si="1"/>
        <v>0</v>
      </c>
      <c r="O25" s="1139">
        <f t="shared" si="1"/>
        <v>0</v>
      </c>
      <c r="P25" s="1139">
        <f t="shared" si="1"/>
        <v>0</v>
      </c>
      <c r="Q25" s="1139">
        <f t="shared" si="1"/>
        <v>0</v>
      </c>
      <c r="R25" s="1139">
        <f t="shared" si="1"/>
        <v>0</v>
      </c>
      <c r="S25" s="1139">
        <f t="shared" si="1"/>
        <v>0</v>
      </c>
      <c r="T25" s="1139">
        <f t="shared" si="1"/>
        <v>0</v>
      </c>
      <c r="U25" s="1139">
        <f t="shared" si="1"/>
        <v>0</v>
      </c>
      <c r="V25" s="1140">
        <f t="shared" si="1"/>
        <v>0</v>
      </c>
      <c r="W25" s="1602"/>
    </row>
    <row r="26" spans="2:23" x14ac:dyDescent="0.25">
      <c r="B26" s="729"/>
      <c r="C26" s="1721" t="s">
        <v>1444</v>
      </c>
      <c r="D26" s="1722"/>
      <c r="E26" s="786"/>
      <c r="F26" s="957"/>
      <c r="G26" s="1603"/>
      <c r="H26" s="1141">
        <f>'8B'!F30</f>
        <v>0</v>
      </c>
      <c r="I26" s="1142">
        <v>0</v>
      </c>
      <c r="J26" s="1142">
        <v>0</v>
      </c>
      <c r="K26" s="1142">
        <v>0</v>
      </c>
      <c r="L26" s="1142">
        <v>0</v>
      </c>
      <c r="M26" s="1142">
        <v>0</v>
      </c>
      <c r="N26" s="1142">
        <v>0</v>
      </c>
      <c r="O26" s="1142">
        <v>0</v>
      </c>
      <c r="P26" s="1142">
        <v>0</v>
      </c>
      <c r="Q26" s="1142">
        <v>0</v>
      </c>
      <c r="R26" s="1142">
        <v>0</v>
      </c>
      <c r="S26" s="1142">
        <v>0</v>
      </c>
      <c r="T26" s="1142">
        <v>0</v>
      </c>
      <c r="U26" s="1142">
        <v>0</v>
      </c>
      <c r="V26" s="1143">
        <v>0</v>
      </c>
      <c r="W26" s="1602"/>
    </row>
    <row r="27" spans="2:23" ht="15.75" thickBot="1" x14ac:dyDescent="0.3">
      <c r="B27" s="729"/>
      <c r="C27" s="265" t="s">
        <v>602</v>
      </c>
      <c r="D27" s="265"/>
      <c r="E27" s="422"/>
      <c r="F27" s="785"/>
      <c r="G27" s="1604"/>
      <c r="H27" s="792"/>
      <c r="I27" s="1605"/>
      <c r="J27" s="1605"/>
      <c r="K27" s="1605"/>
      <c r="L27" s="1605"/>
      <c r="M27" s="1605"/>
      <c r="N27" s="1605"/>
      <c r="O27" s="1605"/>
      <c r="P27" s="1605"/>
      <c r="Q27" s="1605"/>
      <c r="R27" s="1605"/>
      <c r="S27" s="1605"/>
      <c r="T27" s="1605"/>
      <c r="U27" s="1605"/>
      <c r="V27" s="1606"/>
      <c r="W27" s="1602"/>
    </row>
    <row r="28" spans="2:23" x14ac:dyDescent="0.25">
      <c r="B28" s="729"/>
      <c r="C28" s="2612"/>
      <c r="D28" s="2612"/>
      <c r="E28" s="2612"/>
      <c r="F28" s="2613"/>
      <c r="G28" s="1986"/>
      <c r="H28" s="1144">
        <v>0</v>
      </c>
      <c r="I28" s="1145">
        <f t="shared" ref="I28:V28" si="2">H28+(H28*$G28)</f>
        <v>0</v>
      </c>
      <c r="J28" s="1145">
        <f t="shared" si="2"/>
        <v>0</v>
      </c>
      <c r="K28" s="1145">
        <f t="shared" si="2"/>
        <v>0</v>
      </c>
      <c r="L28" s="1145">
        <f t="shared" si="2"/>
        <v>0</v>
      </c>
      <c r="M28" s="1145">
        <f>L28+(L28*$G28)</f>
        <v>0</v>
      </c>
      <c r="N28" s="1145">
        <f t="shared" si="2"/>
        <v>0</v>
      </c>
      <c r="O28" s="1145">
        <f t="shared" si="2"/>
        <v>0</v>
      </c>
      <c r="P28" s="1145">
        <f t="shared" si="2"/>
        <v>0</v>
      </c>
      <c r="Q28" s="1145">
        <f t="shared" si="2"/>
        <v>0</v>
      </c>
      <c r="R28" s="1145">
        <f t="shared" si="2"/>
        <v>0</v>
      </c>
      <c r="S28" s="1145">
        <f t="shared" si="2"/>
        <v>0</v>
      </c>
      <c r="T28" s="1145">
        <f t="shared" si="2"/>
        <v>0</v>
      </c>
      <c r="U28" s="1145">
        <f t="shared" si="2"/>
        <v>0</v>
      </c>
      <c r="V28" s="1146">
        <f t="shared" si="2"/>
        <v>0</v>
      </c>
      <c r="W28" s="1602"/>
    </row>
    <row r="29" spans="2:23" ht="15.75" thickBot="1" x14ac:dyDescent="0.3">
      <c r="B29" s="729"/>
      <c r="C29" s="2614"/>
      <c r="D29" s="2614"/>
      <c r="E29" s="2614"/>
      <c r="F29" s="2615"/>
      <c r="G29" s="1988"/>
      <c r="H29" s="1147">
        <v>0</v>
      </c>
      <c r="I29" s="1148">
        <f t="shared" ref="I29:V29" si="3">H29+(H29*$G29)</f>
        <v>0</v>
      </c>
      <c r="J29" s="1148">
        <f t="shared" si="3"/>
        <v>0</v>
      </c>
      <c r="K29" s="1148">
        <f t="shared" si="3"/>
        <v>0</v>
      </c>
      <c r="L29" s="1148">
        <f t="shared" si="3"/>
        <v>0</v>
      </c>
      <c r="M29" s="1148">
        <f t="shared" si="3"/>
        <v>0</v>
      </c>
      <c r="N29" s="1148">
        <f t="shared" si="3"/>
        <v>0</v>
      </c>
      <c r="O29" s="1148">
        <f t="shared" si="3"/>
        <v>0</v>
      </c>
      <c r="P29" s="1148">
        <f t="shared" si="3"/>
        <v>0</v>
      </c>
      <c r="Q29" s="1148">
        <f t="shared" si="3"/>
        <v>0</v>
      </c>
      <c r="R29" s="1148">
        <f t="shared" si="3"/>
        <v>0</v>
      </c>
      <c r="S29" s="1148">
        <f t="shared" si="3"/>
        <v>0</v>
      </c>
      <c r="T29" s="1148">
        <f t="shared" si="3"/>
        <v>0</v>
      </c>
      <c r="U29" s="1148">
        <f t="shared" si="3"/>
        <v>0</v>
      </c>
      <c r="V29" s="1149">
        <f t="shared" si="3"/>
        <v>0</v>
      </c>
      <c r="W29" s="1602"/>
    </row>
    <row r="30" spans="2:23" x14ac:dyDescent="0.25">
      <c r="B30" s="729"/>
      <c r="C30" s="265" t="s">
        <v>370</v>
      </c>
      <c r="D30" s="422"/>
      <c r="E30" s="422"/>
      <c r="F30" s="422"/>
      <c r="G30" s="266" t="s">
        <v>371</v>
      </c>
      <c r="H30" s="1150">
        <f>SUM(H23:H29)</f>
        <v>0</v>
      </c>
      <c r="I30" s="1151">
        <f t="shared" ref="I30:N30" si="4">SUM(I23:I29)</f>
        <v>0</v>
      </c>
      <c r="J30" s="1151">
        <f t="shared" si="4"/>
        <v>0</v>
      </c>
      <c r="K30" s="1151">
        <f t="shared" si="4"/>
        <v>0</v>
      </c>
      <c r="L30" s="1151">
        <f t="shared" si="4"/>
        <v>0</v>
      </c>
      <c r="M30" s="1151">
        <f t="shared" si="4"/>
        <v>0</v>
      </c>
      <c r="N30" s="1151">
        <f t="shared" si="4"/>
        <v>0</v>
      </c>
      <c r="O30" s="1151">
        <f t="shared" ref="O30:V30" si="5">SUM(O23:O29)</f>
        <v>0</v>
      </c>
      <c r="P30" s="1151">
        <f t="shared" si="5"/>
        <v>0</v>
      </c>
      <c r="Q30" s="1151">
        <f t="shared" si="5"/>
        <v>0</v>
      </c>
      <c r="R30" s="1151">
        <f t="shared" si="5"/>
        <v>0</v>
      </c>
      <c r="S30" s="1151">
        <f t="shared" si="5"/>
        <v>0</v>
      </c>
      <c r="T30" s="1151">
        <f t="shared" si="5"/>
        <v>0</v>
      </c>
      <c r="U30" s="1151">
        <f t="shared" si="5"/>
        <v>0</v>
      </c>
      <c r="V30" s="1152">
        <f t="shared" si="5"/>
        <v>0</v>
      </c>
      <c r="W30" s="1602"/>
    </row>
    <row r="31" spans="2:23" ht="15.75" thickBot="1" x14ac:dyDescent="0.3">
      <c r="B31" s="729"/>
      <c r="C31" s="268" t="s">
        <v>373</v>
      </c>
      <c r="D31" s="269"/>
      <c r="E31" s="611"/>
      <c r="F31" s="612"/>
      <c r="G31" s="613"/>
      <c r="H31" s="1153">
        <v>0</v>
      </c>
      <c r="I31" s="1154">
        <v>0</v>
      </c>
      <c r="J31" s="1154">
        <v>0</v>
      </c>
      <c r="K31" s="1154">
        <v>0</v>
      </c>
      <c r="L31" s="1154">
        <v>0</v>
      </c>
      <c r="M31" s="1154">
        <v>0</v>
      </c>
      <c r="N31" s="1154">
        <v>0</v>
      </c>
      <c r="O31" s="1154">
        <v>0</v>
      </c>
      <c r="P31" s="1154">
        <v>0</v>
      </c>
      <c r="Q31" s="1154">
        <v>0</v>
      </c>
      <c r="R31" s="1154">
        <v>0</v>
      </c>
      <c r="S31" s="1154">
        <v>0</v>
      </c>
      <c r="T31" s="1154">
        <v>0</v>
      </c>
      <c r="U31" s="1154">
        <v>0</v>
      </c>
      <c r="V31" s="1155">
        <v>0</v>
      </c>
      <c r="W31" s="1602"/>
    </row>
    <row r="32" spans="2:23" ht="15.75" thickTop="1" x14ac:dyDescent="0.25">
      <c r="B32" s="729"/>
      <c r="C32" s="263" t="s">
        <v>374</v>
      </c>
      <c r="D32" s="422"/>
      <c r="E32" s="422"/>
      <c r="F32" s="422"/>
      <c r="G32" s="267" t="s">
        <v>371</v>
      </c>
      <c r="H32" s="1156">
        <f>H30+H31</f>
        <v>0</v>
      </c>
      <c r="I32" s="1157">
        <f t="shared" ref="I32:V32" si="6">I30+I31</f>
        <v>0</v>
      </c>
      <c r="J32" s="1157">
        <f t="shared" si="6"/>
        <v>0</v>
      </c>
      <c r="K32" s="1157">
        <f t="shared" si="6"/>
        <v>0</v>
      </c>
      <c r="L32" s="1157">
        <f>L30+L31</f>
        <v>0</v>
      </c>
      <c r="M32" s="1157">
        <f t="shared" si="6"/>
        <v>0</v>
      </c>
      <c r="N32" s="1157">
        <f t="shared" si="6"/>
        <v>0</v>
      </c>
      <c r="O32" s="1157">
        <f t="shared" si="6"/>
        <v>0</v>
      </c>
      <c r="P32" s="1157">
        <f t="shared" si="6"/>
        <v>0</v>
      </c>
      <c r="Q32" s="1157">
        <f t="shared" si="6"/>
        <v>0</v>
      </c>
      <c r="R32" s="1157">
        <f t="shared" si="6"/>
        <v>0</v>
      </c>
      <c r="S32" s="1157">
        <f t="shared" si="6"/>
        <v>0</v>
      </c>
      <c r="T32" s="1157">
        <f t="shared" si="6"/>
        <v>0</v>
      </c>
      <c r="U32" s="1157">
        <f t="shared" si="6"/>
        <v>0</v>
      </c>
      <c r="V32" s="1158">
        <f t="shared" si="6"/>
        <v>0</v>
      </c>
      <c r="W32" s="1602"/>
    </row>
    <row r="33" spans="2:23" ht="15.75" thickBot="1" x14ac:dyDescent="0.3">
      <c r="B33" s="729"/>
      <c r="C33" s="263"/>
      <c r="D33" s="422"/>
      <c r="E33" s="422"/>
      <c r="F33" s="378"/>
      <c r="G33" s="270" t="s">
        <v>375</v>
      </c>
      <c r="H33" s="241"/>
      <c r="I33" s="242"/>
      <c r="J33" s="242"/>
      <c r="K33" s="242"/>
      <c r="L33" s="242"/>
      <c r="M33" s="242"/>
      <c r="N33" s="242"/>
      <c r="O33" s="242"/>
      <c r="P33" s="242"/>
      <c r="Q33" s="242"/>
      <c r="R33" s="242"/>
      <c r="S33" s="242"/>
      <c r="T33" s="242"/>
      <c r="U33" s="242"/>
      <c r="V33" s="252"/>
      <c r="W33" s="1602"/>
    </row>
    <row r="34" spans="2:23" x14ac:dyDescent="0.25">
      <c r="B34" s="729"/>
      <c r="C34" s="271" t="s">
        <v>376</v>
      </c>
      <c r="D34" s="608"/>
      <c r="E34" s="608"/>
      <c r="F34" s="1607"/>
      <c r="G34" s="1986"/>
      <c r="H34" s="1159">
        <f t="shared" ref="H34:V34" si="7">-H30*$G34</f>
        <v>0</v>
      </c>
      <c r="I34" s="1160">
        <f t="shared" si="7"/>
        <v>0</v>
      </c>
      <c r="J34" s="1160">
        <f t="shared" si="7"/>
        <v>0</v>
      </c>
      <c r="K34" s="1160">
        <f t="shared" si="7"/>
        <v>0</v>
      </c>
      <c r="L34" s="1160">
        <f t="shared" si="7"/>
        <v>0</v>
      </c>
      <c r="M34" s="1160">
        <f t="shared" si="7"/>
        <v>0</v>
      </c>
      <c r="N34" s="1160">
        <f t="shared" si="7"/>
        <v>0</v>
      </c>
      <c r="O34" s="1160">
        <f t="shared" si="7"/>
        <v>0</v>
      </c>
      <c r="P34" s="1160">
        <f t="shared" si="7"/>
        <v>0</v>
      </c>
      <c r="Q34" s="1160">
        <f t="shared" si="7"/>
        <v>0</v>
      </c>
      <c r="R34" s="1160">
        <f t="shared" si="7"/>
        <v>0</v>
      </c>
      <c r="S34" s="1160">
        <f t="shared" si="7"/>
        <v>0</v>
      </c>
      <c r="T34" s="1160">
        <f t="shared" si="7"/>
        <v>0</v>
      </c>
      <c r="U34" s="1160">
        <f t="shared" si="7"/>
        <v>0</v>
      </c>
      <c r="V34" s="1161">
        <f t="shared" si="7"/>
        <v>0</v>
      </c>
      <c r="W34" s="1602"/>
    </row>
    <row r="35" spans="2:23" ht="15.75" thickBot="1" x14ac:dyDescent="0.3">
      <c r="B35" s="729"/>
      <c r="C35" s="272" t="s">
        <v>377</v>
      </c>
      <c r="D35" s="611"/>
      <c r="E35" s="611"/>
      <c r="F35" s="1608"/>
      <c r="G35" s="1989"/>
      <c r="H35" s="1162">
        <f t="shared" ref="H35:V35" si="8">-H31*$G35</f>
        <v>0</v>
      </c>
      <c r="I35" s="1163">
        <f t="shared" si="8"/>
        <v>0</v>
      </c>
      <c r="J35" s="1163">
        <f t="shared" si="8"/>
        <v>0</v>
      </c>
      <c r="K35" s="1163">
        <f t="shared" si="8"/>
        <v>0</v>
      </c>
      <c r="L35" s="1163">
        <f t="shared" si="8"/>
        <v>0</v>
      </c>
      <c r="M35" s="1163">
        <f t="shared" si="8"/>
        <v>0</v>
      </c>
      <c r="N35" s="1163">
        <f t="shared" si="8"/>
        <v>0</v>
      </c>
      <c r="O35" s="1163">
        <f t="shared" si="8"/>
        <v>0</v>
      </c>
      <c r="P35" s="1163">
        <f t="shared" si="8"/>
        <v>0</v>
      </c>
      <c r="Q35" s="1163">
        <f t="shared" si="8"/>
        <v>0</v>
      </c>
      <c r="R35" s="1163">
        <f t="shared" si="8"/>
        <v>0</v>
      </c>
      <c r="S35" s="1163">
        <f t="shared" si="8"/>
        <v>0</v>
      </c>
      <c r="T35" s="1163">
        <f t="shared" si="8"/>
        <v>0</v>
      </c>
      <c r="U35" s="1163">
        <f t="shared" si="8"/>
        <v>0</v>
      </c>
      <c r="V35" s="1164">
        <f t="shared" si="8"/>
        <v>0</v>
      </c>
      <c r="W35" s="1602"/>
    </row>
    <row r="36" spans="2:23" ht="16.5" thickTop="1" thickBot="1" x14ac:dyDescent="0.3">
      <c r="B36" s="729"/>
      <c r="C36" s="273" t="s">
        <v>378</v>
      </c>
      <c r="D36" s="422"/>
      <c r="E36" s="422"/>
      <c r="F36" s="422"/>
      <c r="G36" s="266" t="s">
        <v>371</v>
      </c>
      <c r="H36" s="1165">
        <f>H32+H34+H35</f>
        <v>0</v>
      </c>
      <c r="I36" s="1166">
        <f t="shared" ref="I36:N36" si="9">I32+I34+I35</f>
        <v>0</v>
      </c>
      <c r="J36" s="1166">
        <f t="shared" si="9"/>
        <v>0</v>
      </c>
      <c r="K36" s="1166">
        <f t="shared" si="9"/>
        <v>0</v>
      </c>
      <c r="L36" s="1166">
        <f t="shared" si="9"/>
        <v>0</v>
      </c>
      <c r="M36" s="1166">
        <f t="shared" si="9"/>
        <v>0</v>
      </c>
      <c r="N36" s="1166">
        <f t="shared" si="9"/>
        <v>0</v>
      </c>
      <c r="O36" s="1166">
        <f t="shared" ref="O36:V36" si="10">O32+O34+O35</f>
        <v>0</v>
      </c>
      <c r="P36" s="1166">
        <f t="shared" si="10"/>
        <v>0</v>
      </c>
      <c r="Q36" s="1166">
        <f t="shared" si="10"/>
        <v>0</v>
      </c>
      <c r="R36" s="1166">
        <f t="shared" si="10"/>
        <v>0</v>
      </c>
      <c r="S36" s="1166">
        <f t="shared" si="10"/>
        <v>0</v>
      </c>
      <c r="T36" s="1166">
        <f t="shared" si="10"/>
        <v>0</v>
      </c>
      <c r="U36" s="1166">
        <f t="shared" si="10"/>
        <v>0</v>
      </c>
      <c r="V36" s="1167">
        <f t="shared" si="10"/>
        <v>0</v>
      </c>
      <c r="W36" s="1602"/>
    </row>
    <row r="37" spans="2:23" ht="15.75" thickBot="1" x14ac:dyDescent="0.3">
      <c r="B37" s="729"/>
      <c r="C37" s="422"/>
      <c r="D37" s="422"/>
      <c r="E37" s="422"/>
      <c r="F37" s="422"/>
      <c r="G37" s="422"/>
      <c r="H37" s="422"/>
      <c r="I37" s="422"/>
      <c r="J37" s="422"/>
      <c r="K37" s="422"/>
      <c r="L37" s="422"/>
      <c r="M37" s="422"/>
      <c r="N37" s="422"/>
      <c r="O37" s="422"/>
      <c r="P37" s="422"/>
      <c r="Q37" s="422"/>
      <c r="R37" s="422"/>
      <c r="S37" s="422"/>
      <c r="T37" s="422"/>
      <c r="U37" s="422"/>
      <c r="V37" s="422"/>
      <c r="W37" s="1602"/>
    </row>
    <row r="38" spans="2:23" ht="15.75" thickBot="1" x14ac:dyDescent="0.3">
      <c r="B38" s="729"/>
      <c r="C38" s="265" t="s">
        <v>372</v>
      </c>
      <c r="D38" s="267"/>
      <c r="E38" s="422"/>
      <c r="F38" s="610"/>
      <c r="G38" s="422"/>
      <c r="H38" s="2247">
        <v>0</v>
      </c>
      <c r="I38" s="1203">
        <v>0</v>
      </c>
      <c r="J38" s="1203">
        <v>0</v>
      </c>
      <c r="K38" s="1203">
        <v>0</v>
      </c>
      <c r="L38" s="1203">
        <v>0</v>
      </c>
      <c r="M38" s="1203">
        <v>0</v>
      </c>
      <c r="N38" s="1203">
        <v>0</v>
      </c>
      <c r="O38" s="1203">
        <v>0</v>
      </c>
      <c r="P38" s="1203">
        <v>0</v>
      </c>
      <c r="Q38" s="1203">
        <v>0</v>
      </c>
      <c r="R38" s="1203">
        <v>0</v>
      </c>
      <c r="S38" s="1203">
        <v>0</v>
      </c>
      <c r="T38" s="1203">
        <v>0</v>
      </c>
      <c r="U38" s="1203">
        <v>0</v>
      </c>
      <c r="V38" s="1204">
        <v>0</v>
      </c>
      <c r="W38" s="1602"/>
    </row>
    <row r="39" spans="2:23" ht="15.75" thickBot="1" x14ac:dyDescent="0.3">
      <c r="B39" s="258"/>
      <c r="C39" s="249" t="s">
        <v>405</v>
      </c>
      <c r="D39" s="265"/>
      <c r="E39" s="791"/>
      <c r="F39" s="2259">
        <v>0.03</v>
      </c>
      <c r="G39" s="1686" t="str">
        <f>IFERROR(H39/'2A'!$L$22,"")</f>
        <v/>
      </c>
      <c r="H39" s="2248">
        <f>'8C'!L42+'8C'!L56</f>
        <v>0</v>
      </c>
      <c r="I39" s="2249">
        <f t="shared" ref="I39:V39" si="11">H39+(H39*$F39)</f>
        <v>0</v>
      </c>
      <c r="J39" s="2249">
        <f t="shared" si="11"/>
        <v>0</v>
      </c>
      <c r="K39" s="2249">
        <f t="shared" si="11"/>
        <v>0</v>
      </c>
      <c r="L39" s="2249">
        <f t="shared" si="11"/>
        <v>0</v>
      </c>
      <c r="M39" s="2249">
        <f t="shared" si="11"/>
        <v>0</v>
      </c>
      <c r="N39" s="2249">
        <f t="shared" si="11"/>
        <v>0</v>
      </c>
      <c r="O39" s="2249">
        <f t="shared" si="11"/>
        <v>0</v>
      </c>
      <c r="P39" s="2249">
        <f t="shared" si="11"/>
        <v>0</v>
      </c>
      <c r="Q39" s="2249">
        <f t="shared" si="11"/>
        <v>0</v>
      </c>
      <c r="R39" s="2249">
        <f t="shared" si="11"/>
        <v>0</v>
      </c>
      <c r="S39" s="2249">
        <f t="shared" si="11"/>
        <v>0</v>
      </c>
      <c r="T39" s="2249">
        <f t="shared" si="11"/>
        <v>0</v>
      </c>
      <c r="U39" s="2249">
        <f t="shared" si="11"/>
        <v>0</v>
      </c>
      <c r="V39" s="2250">
        <f t="shared" si="11"/>
        <v>0</v>
      </c>
      <c r="W39" s="1602"/>
    </row>
    <row r="40" spans="2:23" ht="7.5" customHeight="1" x14ac:dyDescent="0.25">
      <c r="B40" s="729"/>
      <c r="C40" s="265"/>
      <c r="D40" s="267"/>
      <c r="E40" s="422"/>
      <c r="F40" s="422"/>
      <c r="G40" s="422"/>
      <c r="H40" s="1747"/>
      <c r="I40" s="1747"/>
      <c r="J40" s="1747"/>
      <c r="K40" s="1747"/>
      <c r="L40" s="1747"/>
      <c r="M40" s="1747"/>
      <c r="N40" s="1747"/>
      <c r="O40" s="1747"/>
      <c r="P40" s="1747"/>
      <c r="Q40" s="1747"/>
      <c r="R40" s="1747"/>
      <c r="S40" s="1747"/>
      <c r="T40" s="1747"/>
      <c r="U40" s="1747"/>
      <c r="V40" s="1748"/>
      <c r="W40" s="1602"/>
    </row>
    <row r="41" spans="2:23" ht="15.75" thickBot="1" x14ac:dyDescent="0.3">
      <c r="B41" s="258"/>
      <c r="C41" s="787" t="s">
        <v>549</v>
      </c>
      <c r="D41" s="243"/>
      <c r="E41" s="243"/>
      <c r="F41" s="243"/>
      <c r="G41" s="243"/>
      <c r="H41" s="243"/>
      <c r="I41" s="243"/>
      <c r="J41" s="243"/>
      <c r="K41" s="244"/>
      <c r="L41" s="243"/>
      <c r="M41" s="243"/>
      <c r="N41" s="243"/>
      <c r="O41" s="243"/>
      <c r="P41" s="243"/>
      <c r="Q41" s="243"/>
      <c r="R41" s="243"/>
      <c r="S41" s="243"/>
      <c r="T41" s="243"/>
      <c r="U41" s="243"/>
      <c r="V41" s="243"/>
      <c r="W41" s="1602"/>
    </row>
    <row r="42" spans="2:23" ht="15.75" thickBot="1" x14ac:dyDescent="0.3">
      <c r="B42" s="258"/>
      <c r="C42" s="378"/>
      <c r="D42" s="270" t="s">
        <v>1581</v>
      </c>
      <c r="E42" s="265"/>
      <c r="G42" s="266" t="s">
        <v>371</v>
      </c>
      <c r="H42" s="1168">
        <f>H108</f>
        <v>0</v>
      </c>
      <c r="I42" s="1169">
        <f t="shared" ref="I42:V42" si="12">I108</f>
        <v>0</v>
      </c>
      <c r="J42" s="1169">
        <f t="shared" si="12"/>
        <v>0</v>
      </c>
      <c r="K42" s="1169">
        <f t="shared" si="12"/>
        <v>0</v>
      </c>
      <c r="L42" s="1169">
        <f t="shared" si="12"/>
        <v>0</v>
      </c>
      <c r="M42" s="1169">
        <f t="shared" si="12"/>
        <v>0</v>
      </c>
      <c r="N42" s="1169">
        <f t="shared" si="12"/>
        <v>0</v>
      </c>
      <c r="O42" s="1169">
        <f t="shared" si="12"/>
        <v>0</v>
      </c>
      <c r="P42" s="1169">
        <f t="shared" si="12"/>
        <v>0</v>
      </c>
      <c r="Q42" s="1169">
        <f t="shared" si="12"/>
        <v>0</v>
      </c>
      <c r="R42" s="1169">
        <f t="shared" si="12"/>
        <v>0</v>
      </c>
      <c r="S42" s="1169">
        <f t="shared" si="12"/>
        <v>0</v>
      </c>
      <c r="T42" s="1169">
        <f t="shared" si="12"/>
        <v>0</v>
      </c>
      <c r="U42" s="1169">
        <f t="shared" si="12"/>
        <v>0</v>
      </c>
      <c r="V42" s="1170">
        <f t="shared" si="12"/>
        <v>0</v>
      </c>
      <c r="W42" s="1602"/>
    </row>
    <row r="43" spans="2:23" x14ac:dyDescent="0.25">
      <c r="B43" s="258"/>
      <c r="C43" s="273"/>
      <c r="D43" s="267" t="s">
        <v>1582</v>
      </c>
      <c r="E43" s="265"/>
      <c r="F43" s="265"/>
      <c r="G43" s="266"/>
      <c r="H43" s="287"/>
      <c r="I43" s="287"/>
      <c r="J43" s="287"/>
      <c r="K43" s="287"/>
      <c r="L43" s="287"/>
      <c r="M43" s="287"/>
      <c r="N43" s="287"/>
      <c r="O43" s="422"/>
      <c r="P43" s="422"/>
      <c r="Q43" s="422"/>
      <c r="R43" s="422"/>
      <c r="S43" s="422"/>
      <c r="T43" s="422"/>
      <c r="U43" s="422"/>
      <c r="V43" s="422"/>
      <c r="W43" s="1602"/>
    </row>
    <row r="44" spans="2:23" ht="15.75" thickBot="1" x14ac:dyDescent="0.3">
      <c r="B44" s="729"/>
      <c r="C44" s="2601" t="s">
        <v>409</v>
      </c>
      <c r="D44" s="2601"/>
      <c r="E44" s="250"/>
      <c r="F44" s="250"/>
      <c r="G44" s="250"/>
      <c r="H44" s="250"/>
      <c r="I44" s="250"/>
      <c r="J44" s="250"/>
      <c r="K44" s="250"/>
      <c r="L44" s="250"/>
      <c r="M44" s="250"/>
      <c r="N44" s="250"/>
      <c r="O44" s="250"/>
      <c r="P44" s="250"/>
      <c r="Q44" s="250"/>
      <c r="R44" s="250"/>
      <c r="S44" s="250"/>
      <c r="T44" s="250"/>
      <c r="U44" s="250"/>
      <c r="V44" s="250"/>
      <c r="W44" s="1602"/>
    </row>
    <row r="45" spans="2:23" ht="15.75" thickBot="1" x14ac:dyDescent="0.3">
      <c r="B45" s="729"/>
      <c r="C45" s="348" t="s">
        <v>410</v>
      </c>
      <c r="D45" s="422"/>
      <c r="E45" s="422"/>
      <c r="F45" s="2594" t="s">
        <v>411</v>
      </c>
      <c r="G45" s="2595"/>
      <c r="H45" s="239" t="s">
        <v>361</v>
      </c>
      <c r="I45" s="730" t="s">
        <v>362</v>
      </c>
      <c r="J45" s="730" t="s">
        <v>363</v>
      </c>
      <c r="K45" s="730" t="s">
        <v>364</v>
      </c>
      <c r="L45" s="730" t="s">
        <v>365</v>
      </c>
      <c r="M45" s="730" t="s">
        <v>366</v>
      </c>
      <c r="N45" s="730" t="s">
        <v>367</v>
      </c>
      <c r="O45" s="730" t="s">
        <v>420</v>
      </c>
      <c r="P45" s="730" t="s">
        <v>421</v>
      </c>
      <c r="Q45" s="730" t="s">
        <v>422</v>
      </c>
      <c r="R45" s="730" t="s">
        <v>423</v>
      </c>
      <c r="S45" s="730" t="s">
        <v>424</v>
      </c>
      <c r="T45" s="730" t="s">
        <v>425</v>
      </c>
      <c r="U45" s="730" t="s">
        <v>426</v>
      </c>
      <c r="V45" s="735" t="s">
        <v>427</v>
      </c>
      <c r="W45" s="1602"/>
    </row>
    <row r="46" spans="2:23" x14ac:dyDescent="0.25">
      <c r="B46" s="729"/>
      <c r="C46" s="2606" t="s">
        <v>412</v>
      </c>
      <c r="D46" s="2607"/>
      <c r="E46" s="2608"/>
      <c r="F46" s="2602">
        <v>0</v>
      </c>
      <c r="G46" s="2603"/>
      <c r="H46" s="1171">
        <v>0</v>
      </c>
      <c r="I46" s="1172">
        <v>0</v>
      </c>
      <c r="J46" s="1172">
        <v>0</v>
      </c>
      <c r="K46" s="1172">
        <v>0</v>
      </c>
      <c r="L46" s="1172">
        <v>0</v>
      </c>
      <c r="M46" s="1172">
        <v>0</v>
      </c>
      <c r="N46" s="1172">
        <v>0</v>
      </c>
      <c r="O46" s="1172">
        <v>0</v>
      </c>
      <c r="P46" s="1172">
        <v>0</v>
      </c>
      <c r="Q46" s="1172">
        <v>0</v>
      </c>
      <c r="R46" s="1172">
        <v>0</v>
      </c>
      <c r="S46" s="1172">
        <v>0</v>
      </c>
      <c r="T46" s="1172">
        <v>0</v>
      </c>
      <c r="U46" s="1172">
        <v>0</v>
      </c>
      <c r="V46" s="1173">
        <v>0</v>
      </c>
      <c r="W46" s="1602"/>
    </row>
    <row r="47" spans="2:23" x14ac:dyDescent="0.25">
      <c r="B47" s="729"/>
      <c r="C47" s="2609" t="s">
        <v>413</v>
      </c>
      <c r="D47" s="2610"/>
      <c r="E47" s="2611"/>
      <c r="F47" s="2604">
        <v>0</v>
      </c>
      <c r="G47" s="2605"/>
      <c r="H47" s="1174">
        <v>0</v>
      </c>
      <c r="I47" s="1175">
        <v>0</v>
      </c>
      <c r="J47" s="1175">
        <v>0</v>
      </c>
      <c r="K47" s="1175">
        <v>0</v>
      </c>
      <c r="L47" s="1175">
        <v>0</v>
      </c>
      <c r="M47" s="1175">
        <v>0</v>
      </c>
      <c r="N47" s="1175">
        <v>0</v>
      </c>
      <c r="O47" s="1175">
        <v>0</v>
      </c>
      <c r="P47" s="1175">
        <v>0</v>
      </c>
      <c r="Q47" s="1175">
        <v>0</v>
      </c>
      <c r="R47" s="1175">
        <v>0</v>
      </c>
      <c r="S47" s="1175">
        <v>0</v>
      </c>
      <c r="T47" s="1175">
        <v>0</v>
      </c>
      <c r="U47" s="1175">
        <v>0</v>
      </c>
      <c r="V47" s="1176">
        <v>0</v>
      </c>
      <c r="W47" s="1602"/>
    </row>
    <row r="48" spans="2:23" ht="15.75" thickBot="1" x14ac:dyDescent="0.3">
      <c r="B48" s="729"/>
      <c r="C48" s="2596" t="s">
        <v>1779</v>
      </c>
      <c r="D48" s="2597"/>
      <c r="E48" s="2598"/>
      <c r="F48" s="2592">
        <v>0</v>
      </c>
      <c r="G48" s="2593"/>
      <c r="H48" s="1177">
        <v>0</v>
      </c>
      <c r="I48" s="1178">
        <v>0</v>
      </c>
      <c r="J48" s="1178">
        <v>0</v>
      </c>
      <c r="K48" s="1178">
        <v>0</v>
      </c>
      <c r="L48" s="1178">
        <v>0</v>
      </c>
      <c r="M48" s="1178">
        <v>0</v>
      </c>
      <c r="N48" s="1178">
        <v>0</v>
      </c>
      <c r="O48" s="1178">
        <v>0</v>
      </c>
      <c r="P48" s="1178">
        <v>0</v>
      </c>
      <c r="Q48" s="1178">
        <v>0</v>
      </c>
      <c r="R48" s="1178">
        <v>0</v>
      </c>
      <c r="S48" s="1178">
        <v>0</v>
      </c>
      <c r="T48" s="1178">
        <v>0</v>
      </c>
      <c r="U48" s="1178">
        <v>0</v>
      </c>
      <c r="V48" s="1179">
        <v>0</v>
      </c>
      <c r="W48" s="1602"/>
    </row>
    <row r="49" spans="2:23" ht="15.75" thickTop="1" x14ac:dyDescent="0.25">
      <c r="B49" s="729"/>
      <c r="C49" s="615"/>
      <c r="D49" s="615"/>
      <c r="E49" s="615"/>
      <c r="F49" s="616"/>
      <c r="G49" s="617" t="s">
        <v>414</v>
      </c>
      <c r="H49" s="1180">
        <f>SUM(H46:H48)</f>
        <v>0</v>
      </c>
      <c r="I49" s="1181">
        <f t="shared" ref="I49:N49" si="13">SUM(I46:I48)</f>
        <v>0</v>
      </c>
      <c r="J49" s="1181">
        <f t="shared" si="13"/>
        <v>0</v>
      </c>
      <c r="K49" s="1181">
        <f t="shared" si="13"/>
        <v>0</v>
      </c>
      <c r="L49" s="1181">
        <f t="shared" si="13"/>
        <v>0</v>
      </c>
      <c r="M49" s="1181">
        <f t="shared" si="13"/>
        <v>0</v>
      </c>
      <c r="N49" s="1181">
        <f t="shared" si="13"/>
        <v>0</v>
      </c>
      <c r="O49" s="1181">
        <f>SUM(O46:O48)</f>
        <v>0</v>
      </c>
      <c r="P49" s="1181">
        <f t="shared" ref="P49:V49" si="14">SUM(P46:P48)</f>
        <v>0</v>
      </c>
      <c r="Q49" s="1181">
        <f t="shared" si="14"/>
        <v>0</v>
      </c>
      <c r="R49" s="1181">
        <f t="shared" si="14"/>
        <v>0</v>
      </c>
      <c r="S49" s="1181">
        <f t="shared" si="14"/>
        <v>0</v>
      </c>
      <c r="T49" s="1181">
        <f t="shared" si="14"/>
        <v>0</v>
      </c>
      <c r="U49" s="1181">
        <f t="shared" si="14"/>
        <v>0</v>
      </c>
      <c r="V49" s="1182">
        <f t="shared" si="14"/>
        <v>0</v>
      </c>
      <c r="W49" s="1602"/>
    </row>
    <row r="50" spans="2:23" x14ac:dyDescent="0.25">
      <c r="B50" s="729"/>
      <c r="C50" s="615"/>
      <c r="D50" s="615"/>
      <c r="E50" s="1215"/>
      <c r="F50" s="1867"/>
      <c r="G50" s="1867" t="s">
        <v>415</v>
      </c>
      <c r="H50" s="1197" t="str">
        <f>IFERROR(H42/H49,"0 ")</f>
        <v xml:space="preserve">0 </v>
      </c>
      <c r="I50" s="1198" t="str">
        <f>IFERROR(I42/I49,"0 ")</f>
        <v xml:space="preserve">0 </v>
      </c>
      <c r="J50" s="1198" t="str">
        <f t="shared" ref="J50:V50" si="15">IFERROR(J42/J49,"0 ")</f>
        <v xml:space="preserve">0 </v>
      </c>
      <c r="K50" s="1198" t="str">
        <f t="shared" si="15"/>
        <v xml:space="preserve">0 </v>
      </c>
      <c r="L50" s="1198" t="str">
        <f t="shared" si="15"/>
        <v xml:space="preserve">0 </v>
      </c>
      <c r="M50" s="1198" t="str">
        <f t="shared" si="15"/>
        <v xml:space="preserve">0 </v>
      </c>
      <c r="N50" s="1198" t="str">
        <f t="shared" si="15"/>
        <v xml:space="preserve">0 </v>
      </c>
      <c r="O50" s="1198" t="str">
        <f t="shared" si="15"/>
        <v xml:space="preserve">0 </v>
      </c>
      <c r="P50" s="1198" t="str">
        <f t="shared" si="15"/>
        <v xml:space="preserve">0 </v>
      </c>
      <c r="Q50" s="1198" t="str">
        <f t="shared" si="15"/>
        <v xml:space="preserve">0 </v>
      </c>
      <c r="R50" s="1198" t="str">
        <f t="shared" si="15"/>
        <v xml:space="preserve">0 </v>
      </c>
      <c r="S50" s="1198" t="str">
        <f t="shared" si="15"/>
        <v xml:space="preserve">0 </v>
      </c>
      <c r="T50" s="1198" t="str">
        <f t="shared" si="15"/>
        <v xml:space="preserve">0 </v>
      </c>
      <c r="U50" s="1198" t="str">
        <f t="shared" si="15"/>
        <v xml:space="preserve">0 </v>
      </c>
      <c r="V50" s="1199" t="str">
        <f t="shared" si="15"/>
        <v xml:space="preserve">0 </v>
      </c>
      <c r="W50" s="1602"/>
    </row>
    <row r="51" spans="2:23" ht="15.75" thickBot="1" x14ac:dyDescent="0.3">
      <c r="B51" s="729"/>
      <c r="C51" s="615"/>
      <c r="D51" s="615"/>
      <c r="E51" s="2599" t="s">
        <v>652</v>
      </c>
      <c r="F51" s="2599"/>
      <c r="G51" s="2600"/>
      <c r="H51" s="1183">
        <f>H42-H49</f>
        <v>0</v>
      </c>
      <c r="I51" s="1184">
        <f t="shared" ref="I51:N51" si="16">I42-I49</f>
        <v>0</v>
      </c>
      <c r="J51" s="1184">
        <f t="shared" si="16"/>
        <v>0</v>
      </c>
      <c r="K51" s="1184">
        <f>K42-K49</f>
        <v>0</v>
      </c>
      <c r="L51" s="1184">
        <f t="shared" si="16"/>
        <v>0</v>
      </c>
      <c r="M51" s="1184">
        <f t="shared" si="16"/>
        <v>0</v>
      </c>
      <c r="N51" s="1184">
        <f t="shared" si="16"/>
        <v>0</v>
      </c>
      <c r="O51" s="1184">
        <f>O42-O49</f>
        <v>0</v>
      </c>
      <c r="P51" s="1184">
        <f t="shared" ref="P51:V51" si="17">P42-P49</f>
        <v>0</v>
      </c>
      <c r="Q51" s="1184">
        <f t="shared" si="17"/>
        <v>0</v>
      </c>
      <c r="R51" s="1184">
        <f t="shared" si="17"/>
        <v>0</v>
      </c>
      <c r="S51" s="1184">
        <f t="shared" si="17"/>
        <v>0</v>
      </c>
      <c r="T51" s="1184">
        <f t="shared" si="17"/>
        <v>0</v>
      </c>
      <c r="U51" s="1184">
        <f t="shared" si="17"/>
        <v>0</v>
      </c>
      <c r="V51" s="1185">
        <f t="shared" si="17"/>
        <v>0</v>
      </c>
      <c r="W51" s="1602"/>
    </row>
    <row r="52" spans="2:23" ht="15" customHeight="1" thickBot="1" x14ac:dyDescent="0.3">
      <c r="B52" s="729"/>
      <c r="C52" s="615"/>
      <c r="D52" s="615"/>
      <c r="E52" s="615"/>
      <c r="F52" s="616"/>
      <c r="G52" s="616"/>
      <c r="H52" s="618"/>
      <c r="I52" s="618"/>
      <c r="J52" s="618"/>
      <c r="K52" s="618"/>
      <c r="L52" s="618"/>
      <c r="M52" s="618"/>
      <c r="N52" s="618"/>
      <c r="O52" s="422"/>
      <c r="P52" s="422"/>
      <c r="Q52" s="422"/>
      <c r="R52" s="422"/>
      <c r="S52" s="422"/>
      <c r="T52" s="422"/>
      <c r="U52" s="422"/>
      <c r="V52" s="422"/>
      <c r="W52" s="1602"/>
    </row>
    <row r="53" spans="2:23" ht="15.75" thickBot="1" x14ac:dyDescent="0.3">
      <c r="B53" s="729"/>
      <c r="C53" s="348" t="s">
        <v>416</v>
      </c>
      <c r="D53" s="422"/>
      <c r="E53" s="422"/>
      <c r="F53" s="2594" t="s">
        <v>411</v>
      </c>
      <c r="G53" s="2595"/>
      <c r="H53" s="239" t="s">
        <v>361</v>
      </c>
      <c r="I53" s="730" t="s">
        <v>362</v>
      </c>
      <c r="J53" s="730" t="s">
        <v>363</v>
      </c>
      <c r="K53" s="730" t="s">
        <v>364</v>
      </c>
      <c r="L53" s="730" t="s">
        <v>365</v>
      </c>
      <c r="M53" s="730" t="s">
        <v>366</v>
      </c>
      <c r="N53" s="730" t="s">
        <v>367</v>
      </c>
      <c r="O53" s="730" t="s">
        <v>420</v>
      </c>
      <c r="P53" s="730" t="s">
        <v>421</v>
      </c>
      <c r="Q53" s="730" t="s">
        <v>422</v>
      </c>
      <c r="R53" s="730" t="s">
        <v>423</v>
      </c>
      <c r="S53" s="730" t="s">
        <v>424</v>
      </c>
      <c r="T53" s="730" t="s">
        <v>425</v>
      </c>
      <c r="U53" s="730" t="s">
        <v>426</v>
      </c>
      <c r="V53" s="735" t="s">
        <v>427</v>
      </c>
      <c r="W53" s="1602"/>
    </row>
    <row r="54" spans="2:23" x14ac:dyDescent="0.25">
      <c r="B54" s="729"/>
      <c r="C54" s="2606" t="s">
        <v>417</v>
      </c>
      <c r="D54" s="2607"/>
      <c r="E54" s="2608"/>
      <c r="F54" s="2602">
        <v>0</v>
      </c>
      <c r="G54" s="2603"/>
      <c r="H54" s="1171">
        <v>0</v>
      </c>
      <c r="I54" s="1172">
        <v>0</v>
      </c>
      <c r="J54" s="1172">
        <v>0</v>
      </c>
      <c r="K54" s="1172">
        <v>0</v>
      </c>
      <c r="L54" s="1172">
        <v>0</v>
      </c>
      <c r="M54" s="1172">
        <v>0</v>
      </c>
      <c r="N54" s="1172">
        <v>0</v>
      </c>
      <c r="O54" s="1172">
        <v>0</v>
      </c>
      <c r="P54" s="1172">
        <v>0</v>
      </c>
      <c r="Q54" s="1172">
        <v>0</v>
      </c>
      <c r="R54" s="1172">
        <v>0</v>
      </c>
      <c r="S54" s="1172">
        <v>0</v>
      </c>
      <c r="T54" s="1172">
        <v>0</v>
      </c>
      <c r="U54" s="1172">
        <v>0</v>
      </c>
      <c r="V54" s="1186">
        <v>0</v>
      </c>
      <c r="W54" s="1602"/>
    </row>
    <row r="55" spans="2:23" x14ac:dyDescent="0.25">
      <c r="B55" s="729"/>
      <c r="C55" s="2629" t="s">
        <v>418</v>
      </c>
      <c r="D55" s="2630"/>
      <c r="E55" s="2631"/>
      <c r="F55" s="2604">
        <v>0</v>
      </c>
      <c r="G55" s="2605"/>
      <c r="H55" s="1174">
        <v>0</v>
      </c>
      <c r="I55" s="1175">
        <v>0</v>
      </c>
      <c r="J55" s="1175">
        <v>0</v>
      </c>
      <c r="K55" s="1175">
        <v>0</v>
      </c>
      <c r="L55" s="1175">
        <v>0</v>
      </c>
      <c r="M55" s="1175">
        <v>0</v>
      </c>
      <c r="N55" s="1175">
        <v>0</v>
      </c>
      <c r="O55" s="1175">
        <v>0</v>
      </c>
      <c r="P55" s="1175">
        <v>0</v>
      </c>
      <c r="Q55" s="1175">
        <v>0</v>
      </c>
      <c r="R55" s="1175">
        <v>0</v>
      </c>
      <c r="S55" s="1175">
        <v>0</v>
      </c>
      <c r="T55" s="1175">
        <v>0</v>
      </c>
      <c r="U55" s="1175">
        <v>0</v>
      </c>
      <c r="V55" s="1187">
        <v>0</v>
      </c>
      <c r="W55" s="1602"/>
    </row>
    <row r="56" spans="2:23" x14ac:dyDescent="0.25">
      <c r="B56" s="729"/>
      <c r="C56" s="2629" t="s">
        <v>419</v>
      </c>
      <c r="D56" s="2630"/>
      <c r="E56" s="2631"/>
      <c r="F56" s="2604">
        <v>0</v>
      </c>
      <c r="G56" s="2605"/>
      <c r="H56" s="1174">
        <v>0</v>
      </c>
      <c r="I56" s="1175">
        <v>0</v>
      </c>
      <c r="J56" s="1175">
        <v>0</v>
      </c>
      <c r="K56" s="1175">
        <v>0</v>
      </c>
      <c r="L56" s="1175">
        <v>0</v>
      </c>
      <c r="M56" s="1175">
        <v>0</v>
      </c>
      <c r="N56" s="1175">
        <v>0</v>
      </c>
      <c r="O56" s="1175">
        <v>0</v>
      </c>
      <c r="P56" s="1175">
        <v>0</v>
      </c>
      <c r="Q56" s="1175">
        <v>0</v>
      </c>
      <c r="R56" s="1175">
        <v>0</v>
      </c>
      <c r="S56" s="1175">
        <v>0</v>
      </c>
      <c r="T56" s="1175">
        <v>0</v>
      </c>
      <c r="U56" s="1175">
        <v>0</v>
      </c>
      <c r="V56" s="1187">
        <v>0</v>
      </c>
      <c r="W56" s="1602"/>
    </row>
    <row r="57" spans="2:23" ht="15.75" thickBot="1" x14ac:dyDescent="0.3">
      <c r="B57" s="729"/>
      <c r="C57" s="2596" t="s">
        <v>1780</v>
      </c>
      <c r="D57" s="2597"/>
      <c r="E57" s="2598"/>
      <c r="F57" s="2592">
        <v>0</v>
      </c>
      <c r="G57" s="2593"/>
      <c r="H57" s="1188">
        <v>0</v>
      </c>
      <c r="I57" s="1189">
        <v>0</v>
      </c>
      <c r="J57" s="1189">
        <v>0</v>
      </c>
      <c r="K57" s="1189">
        <v>0</v>
      </c>
      <c r="L57" s="1189">
        <v>0</v>
      </c>
      <c r="M57" s="1189">
        <v>0</v>
      </c>
      <c r="N57" s="1189">
        <v>0</v>
      </c>
      <c r="O57" s="1189">
        <v>0</v>
      </c>
      <c r="P57" s="1189">
        <v>0</v>
      </c>
      <c r="Q57" s="1189">
        <v>0</v>
      </c>
      <c r="R57" s="1189">
        <v>0</v>
      </c>
      <c r="S57" s="1189">
        <v>0</v>
      </c>
      <c r="T57" s="1189">
        <v>0</v>
      </c>
      <c r="U57" s="1189">
        <v>0</v>
      </c>
      <c r="V57" s="1190">
        <v>0</v>
      </c>
      <c r="W57" s="1602"/>
    </row>
    <row r="58" spans="2:23" ht="16.5" thickTop="1" thickBot="1" x14ac:dyDescent="0.3">
      <c r="B58" s="729"/>
      <c r="C58" s="422"/>
      <c r="D58" s="422"/>
      <c r="E58" s="1217"/>
      <c r="F58" s="1217"/>
      <c r="G58" s="1216" t="s">
        <v>649</v>
      </c>
      <c r="H58" s="1191">
        <f>SUM(H54:H57)</f>
        <v>0</v>
      </c>
      <c r="I58" s="1192">
        <f t="shared" ref="I58:N58" si="18">SUM(I54:I57)</f>
        <v>0</v>
      </c>
      <c r="J58" s="1192">
        <f t="shared" si="18"/>
        <v>0</v>
      </c>
      <c r="K58" s="1192">
        <f t="shared" si="18"/>
        <v>0</v>
      </c>
      <c r="L58" s="1192">
        <f t="shared" si="18"/>
        <v>0</v>
      </c>
      <c r="M58" s="1192">
        <f t="shared" si="18"/>
        <v>0</v>
      </c>
      <c r="N58" s="1192">
        <f t="shared" si="18"/>
        <v>0</v>
      </c>
      <c r="O58" s="1192">
        <f>SUM(O54:O57)</f>
        <v>0</v>
      </c>
      <c r="P58" s="1192">
        <f t="shared" ref="P58:V58" si="19">SUM(P54:P57)</f>
        <v>0</v>
      </c>
      <c r="Q58" s="1192">
        <f t="shared" si="19"/>
        <v>0</v>
      </c>
      <c r="R58" s="1192">
        <f t="shared" si="19"/>
        <v>0</v>
      </c>
      <c r="S58" s="1192">
        <f t="shared" si="19"/>
        <v>0</v>
      </c>
      <c r="T58" s="1192">
        <f t="shared" si="19"/>
        <v>0</v>
      </c>
      <c r="U58" s="1192">
        <f t="shared" si="19"/>
        <v>0</v>
      </c>
      <c r="V58" s="1193">
        <f t="shared" si="19"/>
        <v>0</v>
      </c>
      <c r="W58" s="1602"/>
    </row>
    <row r="59" spans="2:23" ht="7.5" customHeight="1" thickBot="1" x14ac:dyDescent="0.3">
      <c r="B59" s="729"/>
      <c r="C59" s="422"/>
      <c r="D59" s="422"/>
      <c r="E59" s="1218"/>
      <c r="F59" s="1218"/>
      <c r="G59" s="1074"/>
      <c r="H59" s="422"/>
      <c r="I59" s="422"/>
      <c r="J59" s="422"/>
      <c r="K59" s="422"/>
      <c r="L59" s="422"/>
      <c r="M59" s="422"/>
      <c r="N59" s="422"/>
      <c r="O59" s="422"/>
      <c r="P59" s="422"/>
      <c r="Q59" s="422"/>
      <c r="R59" s="422"/>
      <c r="S59" s="422"/>
      <c r="T59" s="422"/>
      <c r="U59" s="422"/>
      <c r="V59" s="422"/>
      <c r="W59" s="1602"/>
    </row>
    <row r="60" spans="2:23" x14ac:dyDescent="0.25">
      <c r="B60" s="729"/>
      <c r="C60" s="422"/>
      <c r="D60" s="422"/>
      <c r="E60" s="273"/>
      <c r="F60" s="273"/>
      <c r="G60" s="1868" t="s">
        <v>650</v>
      </c>
      <c r="H60" s="1200" t="str">
        <f>IFERROR(H42/(H49+H58),"0 ")</f>
        <v xml:space="preserve">0 </v>
      </c>
      <c r="I60" s="1201" t="str">
        <f t="shared" ref="I60:V60" si="20">IFERROR(I42/(I49+I58),"0 ")</f>
        <v xml:space="preserve">0 </v>
      </c>
      <c r="J60" s="1201" t="str">
        <f t="shared" si="20"/>
        <v xml:space="preserve">0 </v>
      </c>
      <c r="K60" s="1201" t="str">
        <f t="shared" si="20"/>
        <v xml:space="preserve">0 </v>
      </c>
      <c r="L60" s="1201" t="str">
        <f t="shared" si="20"/>
        <v xml:space="preserve">0 </v>
      </c>
      <c r="M60" s="1201" t="str">
        <f t="shared" si="20"/>
        <v xml:space="preserve">0 </v>
      </c>
      <c r="N60" s="1201" t="str">
        <f t="shared" si="20"/>
        <v xml:space="preserve">0 </v>
      </c>
      <c r="O60" s="1201" t="str">
        <f t="shared" si="20"/>
        <v xml:space="preserve">0 </v>
      </c>
      <c r="P60" s="1201" t="str">
        <f t="shared" si="20"/>
        <v xml:space="preserve">0 </v>
      </c>
      <c r="Q60" s="1201" t="str">
        <f t="shared" si="20"/>
        <v xml:space="preserve">0 </v>
      </c>
      <c r="R60" s="1201" t="str">
        <f t="shared" si="20"/>
        <v xml:space="preserve">0 </v>
      </c>
      <c r="S60" s="1201" t="str">
        <f t="shared" si="20"/>
        <v xml:space="preserve">0 </v>
      </c>
      <c r="T60" s="1201" t="str">
        <f t="shared" si="20"/>
        <v xml:space="preserve">0 </v>
      </c>
      <c r="U60" s="1201" t="str">
        <f t="shared" si="20"/>
        <v xml:space="preserve">0 </v>
      </c>
      <c r="V60" s="1202" t="str">
        <f t="shared" si="20"/>
        <v xml:space="preserve">0 </v>
      </c>
      <c r="W60" s="1602"/>
    </row>
    <row r="61" spans="2:23" ht="15.75" thickBot="1" x14ac:dyDescent="0.3">
      <c r="B61" s="729"/>
      <c r="C61" s="422"/>
      <c r="D61" s="422"/>
      <c r="E61" s="273"/>
      <c r="F61" s="290"/>
      <c r="G61" s="1868" t="s">
        <v>651</v>
      </c>
      <c r="H61" s="1194">
        <f t="shared" ref="H61:O61" si="21">H51-H58</f>
        <v>0</v>
      </c>
      <c r="I61" s="1195">
        <f t="shared" si="21"/>
        <v>0</v>
      </c>
      <c r="J61" s="1195">
        <f t="shared" si="21"/>
        <v>0</v>
      </c>
      <c r="K61" s="1195">
        <f t="shared" si="21"/>
        <v>0</v>
      </c>
      <c r="L61" s="1195">
        <f t="shared" si="21"/>
        <v>0</v>
      </c>
      <c r="M61" s="1195">
        <f t="shared" si="21"/>
        <v>0</v>
      </c>
      <c r="N61" s="1195">
        <f t="shared" si="21"/>
        <v>0</v>
      </c>
      <c r="O61" s="1195">
        <f t="shared" si="21"/>
        <v>0</v>
      </c>
      <c r="P61" s="1195">
        <f t="shared" ref="P61:U61" si="22">P51-P58</f>
        <v>0</v>
      </c>
      <c r="Q61" s="1195">
        <f t="shared" si="22"/>
        <v>0</v>
      </c>
      <c r="R61" s="1195">
        <f t="shared" si="22"/>
        <v>0</v>
      </c>
      <c r="S61" s="1195">
        <f t="shared" si="22"/>
        <v>0</v>
      </c>
      <c r="T61" s="1195">
        <f t="shared" si="22"/>
        <v>0</v>
      </c>
      <c r="U61" s="1195">
        <f t="shared" si="22"/>
        <v>0</v>
      </c>
      <c r="V61" s="1196">
        <f>V51-V58</f>
        <v>0</v>
      </c>
      <c r="W61" s="1602"/>
    </row>
    <row r="62" spans="2:23" ht="9" customHeight="1" thickBot="1" x14ac:dyDescent="0.3">
      <c r="B62" s="741"/>
      <c r="C62" s="742"/>
      <c r="D62" s="743"/>
      <c r="E62" s="742"/>
      <c r="F62" s="742"/>
      <c r="G62" s="742"/>
      <c r="H62" s="742"/>
      <c r="I62" s="742"/>
      <c r="J62" s="742"/>
      <c r="K62" s="742"/>
      <c r="L62" s="742"/>
      <c r="M62" s="742"/>
      <c r="N62" s="742"/>
      <c r="O62" s="726"/>
      <c r="P62" s="1609"/>
      <c r="Q62" s="1610"/>
      <c r="R62" s="1610"/>
      <c r="S62" s="1610"/>
      <c r="T62" s="1610"/>
      <c r="U62" s="1610"/>
      <c r="V62" s="1610"/>
      <c r="W62" s="744"/>
    </row>
    <row r="63" spans="2:23" ht="9" customHeight="1" x14ac:dyDescent="0.25">
      <c r="B63" s="253"/>
      <c r="C63" s="727"/>
      <c r="D63" s="727"/>
      <c r="E63" s="727"/>
      <c r="F63" s="727"/>
      <c r="G63" s="727"/>
      <c r="H63" s="727"/>
      <c r="I63" s="727"/>
      <c r="J63" s="727"/>
      <c r="K63" s="727"/>
      <c r="L63" s="727"/>
      <c r="M63" s="727"/>
      <c r="N63" s="727"/>
      <c r="O63" s="727"/>
      <c r="P63" s="727"/>
      <c r="Q63" s="727"/>
      <c r="R63" s="727"/>
      <c r="S63" s="727"/>
      <c r="T63" s="727"/>
      <c r="U63" s="727"/>
      <c r="V63" s="727"/>
      <c r="W63" s="254"/>
    </row>
    <row r="64" spans="2:23" ht="18.75" x14ac:dyDescent="0.3">
      <c r="B64" s="255"/>
      <c r="C64" s="1856" t="s">
        <v>1578</v>
      </c>
      <c r="D64" s="1856"/>
      <c r="E64" s="1856"/>
      <c r="F64" s="1856"/>
      <c r="G64" s="1856"/>
      <c r="H64" s="1856"/>
      <c r="I64" s="1856"/>
      <c r="J64" s="1856"/>
      <c r="K64" s="1856"/>
      <c r="L64" s="1856"/>
      <c r="M64" s="1856"/>
      <c r="N64" s="698"/>
      <c r="O64" s="698"/>
      <c r="P64" s="698"/>
      <c r="Q64" s="698"/>
      <c r="R64" s="698"/>
      <c r="S64" s="698"/>
      <c r="T64" s="698"/>
      <c r="U64" s="698"/>
      <c r="V64" s="698"/>
      <c r="W64" s="257"/>
    </row>
    <row r="65" spans="2:23" ht="7.5" customHeight="1" x14ac:dyDescent="0.25">
      <c r="B65" s="255"/>
      <c r="C65" s="256"/>
      <c r="D65" s="256"/>
      <c r="E65" s="256"/>
      <c r="F65" s="256"/>
      <c r="G65" s="256"/>
      <c r="H65" s="256"/>
      <c r="I65" s="256"/>
      <c r="J65" s="256"/>
      <c r="K65" s="256"/>
      <c r="L65" s="256"/>
      <c r="M65" s="256"/>
      <c r="N65" s="256"/>
      <c r="O65" s="256"/>
      <c r="P65" s="256"/>
      <c r="Q65" s="256"/>
      <c r="R65" s="256"/>
      <c r="S65" s="256"/>
      <c r="T65" s="256"/>
      <c r="U65" s="256"/>
      <c r="V65" s="256"/>
      <c r="W65" s="257"/>
    </row>
    <row r="66" spans="2:23" ht="15.75" thickBot="1" x14ac:dyDescent="0.3">
      <c r="B66" s="255"/>
      <c r="C66" s="1855" t="str">
        <f>IF('1'!G5="","Enter Project Name on Form 1",(CONCATENATE("Project Name: ",'1'!G5)))</f>
        <v>Enter Project Name on Form 1</v>
      </c>
      <c r="D66" s="1611"/>
      <c r="E66" s="1611"/>
      <c r="F66" s="1611"/>
      <c r="G66" s="1611"/>
      <c r="H66" s="1611"/>
      <c r="I66" s="1611"/>
      <c r="J66" s="1612"/>
      <c r="K66" s="345"/>
      <c r="L66" s="1219"/>
      <c r="M66" s="1219"/>
      <c r="N66" s="492"/>
      <c r="O66" s="492"/>
      <c r="P66" s="492"/>
      <c r="Q66" s="492"/>
      <c r="R66" s="492"/>
      <c r="S66" s="492"/>
      <c r="T66" s="492"/>
      <c r="U66" s="492"/>
      <c r="V66" s="492"/>
      <c r="W66" s="257"/>
    </row>
    <row r="67" spans="2:23" ht="3.75" customHeight="1" x14ac:dyDescent="0.25">
      <c r="B67" s="255"/>
      <c r="C67" s="492"/>
      <c r="D67" s="492"/>
      <c r="E67" s="492"/>
      <c r="F67" s="492"/>
      <c r="G67" s="492"/>
      <c r="H67" s="422"/>
      <c r="I67" s="422"/>
      <c r="J67" s="422"/>
      <c r="K67" s="422"/>
      <c r="L67" s="492"/>
      <c r="M67" s="492"/>
      <c r="N67" s="492"/>
      <c r="O67" s="492"/>
      <c r="P67" s="492"/>
      <c r="Q67" s="492"/>
      <c r="R67" s="492"/>
      <c r="S67" s="492"/>
      <c r="T67" s="492"/>
      <c r="U67" s="492"/>
      <c r="V67" s="492"/>
      <c r="W67" s="257"/>
    </row>
    <row r="68" spans="2:23" x14ac:dyDescent="0.25">
      <c r="B68" s="258"/>
      <c r="C68" s="2258" t="s">
        <v>359</v>
      </c>
      <c r="D68" s="736" t="str">
        <f>IF(D18=0,"",D18)</f>
        <v/>
      </c>
      <c r="E68" s="256"/>
      <c r="F68" s="256"/>
      <c r="G68" s="256"/>
      <c r="H68" s="259"/>
      <c r="I68" s="259"/>
      <c r="J68" s="259"/>
      <c r="K68" s="259"/>
      <c r="L68" s="259"/>
      <c r="M68" s="260"/>
      <c r="N68" s="259"/>
      <c r="O68" s="259"/>
      <c r="P68" s="259"/>
      <c r="Q68" s="259"/>
      <c r="R68" s="259"/>
      <c r="S68" s="259"/>
      <c r="T68" s="259"/>
      <c r="U68" s="259"/>
      <c r="V68" s="259"/>
      <c r="W68" s="261"/>
    </row>
    <row r="69" spans="2:23" ht="7.5" customHeight="1" thickBot="1" x14ac:dyDescent="0.3">
      <c r="B69" s="729"/>
      <c r="C69" s="422"/>
      <c r="D69" s="422"/>
      <c r="E69" s="422"/>
      <c r="F69" s="422"/>
      <c r="G69" s="422"/>
      <c r="H69" s="422"/>
      <c r="I69" s="422"/>
      <c r="J69" s="422"/>
      <c r="K69" s="422"/>
      <c r="L69" s="422"/>
      <c r="M69" s="422"/>
      <c r="N69" s="422"/>
      <c r="O69" s="422"/>
      <c r="P69" s="422"/>
      <c r="Q69" s="422"/>
      <c r="R69" s="422"/>
      <c r="S69" s="422"/>
      <c r="T69" s="422"/>
      <c r="U69" s="422"/>
      <c r="V69" s="422"/>
      <c r="W69" s="737"/>
    </row>
    <row r="70" spans="2:23" ht="36.75" thickBot="1" x14ac:dyDescent="0.3">
      <c r="B70" s="258"/>
      <c r="C70" s="263" t="s">
        <v>379</v>
      </c>
      <c r="D70" s="256"/>
      <c r="E70" s="274"/>
      <c r="F70" s="738" t="s">
        <v>369</v>
      </c>
      <c r="G70" s="245" t="s">
        <v>380</v>
      </c>
      <c r="H70" s="239" t="s">
        <v>361</v>
      </c>
      <c r="I70" s="730" t="s">
        <v>362</v>
      </c>
      <c r="J70" s="730" t="s">
        <v>363</v>
      </c>
      <c r="K70" s="730" t="s">
        <v>364</v>
      </c>
      <c r="L70" s="730" t="s">
        <v>365</v>
      </c>
      <c r="M70" s="730" t="s">
        <v>366</v>
      </c>
      <c r="N70" s="730" t="s">
        <v>367</v>
      </c>
      <c r="O70" s="730" t="s">
        <v>420</v>
      </c>
      <c r="P70" s="730" t="s">
        <v>421</v>
      </c>
      <c r="Q70" s="730" t="s">
        <v>422</v>
      </c>
      <c r="R70" s="730" t="s">
        <v>423</v>
      </c>
      <c r="S70" s="730" t="s">
        <v>424</v>
      </c>
      <c r="T70" s="730" t="s">
        <v>425</v>
      </c>
      <c r="U70" s="730" t="s">
        <v>426</v>
      </c>
      <c r="V70" s="251" t="s">
        <v>427</v>
      </c>
      <c r="W70" s="1602"/>
    </row>
    <row r="71" spans="2:23" ht="15.75" thickBot="1" x14ac:dyDescent="0.3">
      <c r="B71" s="258"/>
      <c r="C71" s="275" t="s">
        <v>381</v>
      </c>
      <c r="D71" s="276"/>
      <c r="E71" s="788"/>
      <c r="F71" s="793">
        <v>0.03</v>
      </c>
      <c r="G71" s="1682" t="str">
        <f>IFERROR(H71/'2A'!$L$22,"")</f>
        <v/>
      </c>
      <c r="H71" s="1982">
        <f>'8C'!L25</f>
        <v>0</v>
      </c>
      <c r="I71" s="1203">
        <f t="shared" ref="I71:V71" si="23">H71+(H71*$F71)</f>
        <v>0</v>
      </c>
      <c r="J71" s="1203">
        <f t="shared" si="23"/>
        <v>0</v>
      </c>
      <c r="K71" s="1203">
        <f t="shared" si="23"/>
        <v>0</v>
      </c>
      <c r="L71" s="1203">
        <f t="shared" si="23"/>
        <v>0</v>
      </c>
      <c r="M71" s="1203">
        <f t="shared" si="23"/>
        <v>0</v>
      </c>
      <c r="N71" s="1203">
        <f t="shared" si="23"/>
        <v>0</v>
      </c>
      <c r="O71" s="1203">
        <f t="shared" si="23"/>
        <v>0</v>
      </c>
      <c r="P71" s="1203">
        <f t="shared" si="23"/>
        <v>0</v>
      </c>
      <c r="Q71" s="1203">
        <f t="shared" si="23"/>
        <v>0</v>
      </c>
      <c r="R71" s="1203">
        <f t="shared" si="23"/>
        <v>0</v>
      </c>
      <c r="S71" s="1203">
        <f t="shared" si="23"/>
        <v>0</v>
      </c>
      <c r="T71" s="1203">
        <f t="shared" si="23"/>
        <v>0</v>
      </c>
      <c r="U71" s="1203">
        <f t="shared" si="23"/>
        <v>0</v>
      </c>
      <c r="V71" s="1204">
        <f t="shared" si="23"/>
        <v>0</v>
      </c>
      <c r="W71" s="1602"/>
    </row>
    <row r="72" spans="2:23" ht="15.75" thickBot="1" x14ac:dyDescent="0.3">
      <c r="B72" s="277"/>
      <c r="C72" s="278" t="s">
        <v>382</v>
      </c>
      <c r="D72" s="279"/>
      <c r="E72" s="789"/>
      <c r="F72" s="793">
        <v>0.03</v>
      </c>
      <c r="G72" s="1683" t="str">
        <f>IFERROR(H72/'2A'!$L$22,"")</f>
        <v/>
      </c>
      <c r="H72" s="1983">
        <f>'8C'!L26</f>
        <v>0</v>
      </c>
      <c r="I72" s="1206">
        <f t="shared" ref="I72:V72" si="24">H72+(H72*$F72)</f>
        <v>0</v>
      </c>
      <c r="J72" s="1206">
        <f t="shared" si="24"/>
        <v>0</v>
      </c>
      <c r="K72" s="1206">
        <f t="shared" si="24"/>
        <v>0</v>
      </c>
      <c r="L72" s="1206">
        <f t="shared" si="24"/>
        <v>0</v>
      </c>
      <c r="M72" s="1206">
        <f t="shared" si="24"/>
        <v>0</v>
      </c>
      <c r="N72" s="1206">
        <f t="shared" si="24"/>
        <v>0</v>
      </c>
      <c r="O72" s="1206">
        <f t="shared" si="24"/>
        <v>0</v>
      </c>
      <c r="P72" s="1206">
        <f t="shared" si="24"/>
        <v>0</v>
      </c>
      <c r="Q72" s="1206">
        <f t="shared" si="24"/>
        <v>0</v>
      </c>
      <c r="R72" s="1206">
        <f t="shared" si="24"/>
        <v>0</v>
      </c>
      <c r="S72" s="1206">
        <f t="shared" si="24"/>
        <v>0</v>
      </c>
      <c r="T72" s="1206">
        <f t="shared" si="24"/>
        <v>0</v>
      </c>
      <c r="U72" s="1206">
        <f t="shared" si="24"/>
        <v>0</v>
      </c>
      <c r="V72" s="1207">
        <f t="shared" si="24"/>
        <v>0</v>
      </c>
      <c r="W72" s="1602"/>
    </row>
    <row r="73" spans="2:23" ht="15.75" thickBot="1" x14ac:dyDescent="0.3">
      <c r="B73" s="258"/>
      <c r="C73" s="278" t="s">
        <v>383</v>
      </c>
      <c r="D73" s="279"/>
      <c r="E73" s="789"/>
      <c r="F73" s="793">
        <v>0.03</v>
      </c>
      <c r="G73" s="1683" t="str">
        <f>IFERROR(H73/'2A'!$L$22,"")</f>
        <v/>
      </c>
      <c r="H73" s="1205">
        <v>0</v>
      </c>
      <c r="I73" s="1206">
        <f t="shared" ref="I73:V73" si="25">H73+(H73*$F73)</f>
        <v>0</v>
      </c>
      <c r="J73" s="1206">
        <f t="shared" si="25"/>
        <v>0</v>
      </c>
      <c r="K73" s="1206">
        <f t="shared" si="25"/>
        <v>0</v>
      </c>
      <c r="L73" s="1206">
        <f t="shared" si="25"/>
        <v>0</v>
      </c>
      <c r="M73" s="1206">
        <f t="shared" si="25"/>
        <v>0</v>
      </c>
      <c r="N73" s="1206">
        <f t="shared" si="25"/>
        <v>0</v>
      </c>
      <c r="O73" s="1206">
        <f t="shared" si="25"/>
        <v>0</v>
      </c>
      <c r="P73" s="1206">
        <f t="shared" si="25"/>
        <v>0</v>
      </c>
      <c r="Q73" s="1206">
        <f t="shared" si="25"/>
        <v>0</v>
      </c>
      <c r="R73" s="1206">
        <f t="shared" si="25"/>
        <v>0</v>
      </c>
      <c r="S73" s="1206">
        <f t="shared" si="25"/>
        <v>0</v>
      </c>
      <c r="T73" s="1206">
        <f t="shared" si="25"/>
        <v>0</v>
      </c>
      <c r="U73" s="1206">
        <f t="shared" si="25"/>
        <v>0</v>
      </c>
      <c r="V73" s="1207">
        <f t="shared" si="25"/>
        <v>0</v>
      </c>
      <c r="W73" s="1602"/>
    </row>
    <row r="74" spans="2:23" ht="15.75" thickBot="1" x14ac:dyDescent="0.3">
      <c r="B74" s="258"/>
      <c r="C74" s="278" t="s">
        <v>384</v>
      </c>
      <c r="D74" s="280"/>
      <c r="E74" s="789"/>
      <c r="F74" s="793">
        <v>0.03</v>
      </c>
      <c r="G74" s="1683" t="str">
        <f>IFERROR(H74/'2A'!$L$22,"")</f>
        <v/>
      </c>
      <c r="H74" s="1205">
        <v>0</v>
      </c>
      <c r="I74" s="1206">
        <f t="shared" ref="I74:V74" si="26">H74+(H74*$F74)</f>
        <v>0</v>
      </c>
      <c r="J74" s="1206">
        <f t="shared" si="26"/>
        <v>0</v>
      </c>
      <c r="K74" s="1206">
        <f>J74+(J74*$F74)</f>
        <v>0</v>
      </c>
      <c r="L74" s="1206">
        <f t="shared" si="26"/>
        <v>0</v>
      </c>
      <c r="M74" s="1206">
        <f t="shared" si="26"/>
        <v>0</v>
      </c>
      <c r="N74" s="1206">
        <f t="shared" si="26"/>
        <v>0</v>
      </c>
      <c r="O74" s="1206">
        <f t="shared" si="26"/>
        <v>0</v>
      </c>
      <c r="P74" s="1206">
        <f t="shared" si="26"/>
        <v>0</v>
      </c>
      <c r="Q74" s="1206">
        <f t="shared" si="26"/>
        <v>0</v>
      </c>
      <c r="R74" s="1206">
        <f t="shared" si="26"/>
        <v>0</v>
      </c>
      <c r="S74" s="1206">
        <f t="shared" si="26"/>
        <v>0</v>
      </c>
      <c r="T74" s="1206">
        <f t="shared" si="26"/>
        <v>0</v>
      </c>
      <c r="U74" s="1206">
        <f t="shared" si="26"/>
        <v>0</v>
      </c>
      <c r="V74" s="1207">
        <f t="shared" si="26"/>
        <v>0</v>
      </c>
      <c r="W74" s="1602"/>
    </row>
    <row r="75" spans="2:23" ht="15.75" thickBot="1" x14ac:dyDescent="0.3">
      <c r="B75" s="258"/>
      <c r="C75" s="278" t="s">
        <v>385</v>
      </c>
      <c r="D75" s="279"/>
      <c r="E75" s="789"/>
      <c r="F75" s="793">
        <v>0.03</v>
      </c>
      <c r="G75" s="1683" t="str">
        <f>IFERROR(H75/'2A'!$L$22,"")</f>
        <v/>
      </c>
      <c r="H75" s="1205">
        <v>0</v>
      </c>
      <c r="I75" s="1206">
        <f t="shared" ref="I75:V75" si="27">H75+(H75*$F75)</f>
        <v>0</v>
      </c>
      <c r="J75" s="1206">
        <f t="shared" si="27"/>
        <v>0</v>
      </c>
      <c r="K75" s="1206">
        <f t="shared" si="27"/>
        <v>0</v>
      </c>
      <c r="L75" s="1206">
        <f t="shared" si="27"/>
        <v>0</v>
      </c>
      <c r="M75" s="1206">
        <f t="shared" si="27"/>
        <v>0</v>
      </c>
      <c r="N75" s="1206">
        <f t="shared" si="27"/>
        <v>0</v>
      </c>
      <c r="O75" s="1206">
        <f t="shared" si="27"/>
        <v>0</v>
      </c>
      <c r="P75" s="1206">
        <f t="shared" si="27"/>
        <v>0</v>
      </c>
      <c r="Q75" s="1206">
        <f t="shared" si="27"/>
        <v>0</v>
      </c>
      <c r="R75" s="1206">
        <f t="shared" si="27"/>
        <v>0</v>
      </c>
      <c r="S75" s="1206">
        <f t="shared" si="27"/>
        <v>0</v>
      </c>
      <c r="T75" s="1206">
        <f t="shared" si="27"/>
        <v>0</v>
      </c>
      <c r="U75" s="1206">
        <f t="shared" si="27"/>
        <v>0</v>
      </c>
      <c r="V75" s="1207">
        <f t="shared" si="27"/>
        <v>0</v>
      </c>
      <c r="W75" s="1602"/>
    </row>
    <row r="76" spans="2:23" ht="15.75" thickBot="1" x14ac:dyDescent="0.3">
      <c r="B76" s="258"/>
      <c r="C76" s="278" t="s">
        <v>386</v>
      </c>
      <c r="D76" s="279"/>
      <c r="E76" s="789"/>
      <c r="F76" s="793">
        <v>0.03</v>
      </c>
      <c r="G76" s="1683" t="str">
        <f>IFERROR(H76/'2A'!$L$22,"")</f>
        <v/>
      </c>
      <c r="H76" s="1205">
        <v>0</v>
      </c>
      <c r="I76" s="1206">
        <f t="shared" ref="I76:V76" si="28">H76+(H76*$F76)</f>
        <v>0</v>
      </c>
      <c r="J76" s="1206">
        <f t="shared" si="28"/>
        <v>0</v>
      </c>
      <c r="K76" s="1206">
        <f t="shared" si="28"/>
        <v>0</v>
      </c>
      <c r="L76" s="1206">
        <f t="shared" si="28"/>
        <v>0</v>
      </c>
      <c r="M76" s="1206">
        <f t="shared" si="28"/>
        <v>0</v>
      </c>
      <c r="N76" s="1206">
        <f t="shared" si="28"/>
        <v>0</v>
      </c>
      <c r="O76" s="1206">
        <f t="shared" si="28"/>
        <v>0</v>
      </c>
      <c r="P76" s="1206">
        <f t="shared" si="28"/>
        <v>0</v>
      </c>
      <c r="Q76" s="1206">
        <f t="shared" si="28"/>
        <v>0</v>
      </c>
      <c r="R76" s="1206">
        <f t="shared" si="28"/>
        <v>0</v>
      </c>
      <c r="S76" s="1206">
        <f t="shared" si="28"/>
        <v>0</v>
      </c>
      <c r="T76" s="1206">
        <f t="shared" si="28"/>
        <v>0</v>
      </c>
      <c r="U76" s="1206">
        <f t="shared" si="28"/>
        <v>0</v>
      </c>
      <c r="V76" s="1207">
        <f t="shared" si="28"/>
        <v>0</v>
      </c>
      <c r="W76" s="1602"/>
    </row>
    <row r="77" spans="2:23" ht="15.75" thickBot="1" x14ac:dyDescent="0.3">
      <c r="B77" s="258"/>
      <c r="C77" s="278" t="s">
        <v>387</v>
      </c>
      <c r="D77" s="279"/>
      <c r="E77" s="789"/>
      <c r="F77" s="793">
        <v>0.03</v>
      </c>
      <c r="G77" s="1683" t="str">
        <f>IFERROR(H77/'2A'!$L$22,"")</f>
        <v/>
      </c>
      <c r="H77" s="1205">
        <v>0</v>
      </c>
      <c r="I77" s="1206">
        <f t="shared" ref="I77:V77" si="29">H77+(H77*$F77)</f>
        <v>0</v>
      </c>
      <c r="J77" s="1206">
        <f t="shared" si="29"/>
        <v>0</v>
      </c>
      <c r="K77" s="1206">
        <f t="shared" si="29"/>
        <v>0</v>
      </c>
      <c r="L77" s="1206">
        <f t="shared" si="29"/>
        <v>0</v>
      </c>
      <c r="M77" s="1206">
        <f t="shared" si="29"/>
        <v>0</v>
      </c>
      <c r="N77" s="1206">
        <f t="shared" si="29"/>
        <v>0</v>
      </c>
      <c r="O77" s="1206">
        <f t="shared" si="29"/>
        <v>0</v>
      </c>
      <c r="P77" s="1206">
        <f t="shared" si="29"/>
        <v>0</v>
      </c>
      <c r="Q77" s="1206">
        <f t="shared" si="29"/>
        <v>0</v>
      </c>
      <c r="R77" s="1206">
        <f t="shared" si="29"/>
        <v>0</v>
      </c>
      <c r="S77" s="1206">
        <f t="shared" si="29"/>
        <v>0</v>
      </c>
      <c r="T77" s="1206">
        <f t="shared" si="29"/>
        <v>0</v>
      </c>
      <c r="U77" s="1206">
        <f t="shared" si="29"/>
        <v>0</v>
      </c>
      <c r="V77" s="1207">
        <f t="shared" si="29"/>
        <v>0</v>
      </c>
      <c r="W77" s="1602"/>
    </row>
    <row r="78" spans="2:23" ht="15.75" thickBot="1" x14ac:dyDescent="0.3">
      <c r="B78" s="258"/>
      <c r="C78" s="278" t="s">
        <v>388</v>
      </c>
      <c r="D78" s="280"/>
      <c r="E78" s="789"/>
      <c r="F78" s="793">
        <v>0.03</v>
      </c>
      <c r="G78" s="1683" t="str">
        <f>IFERROR(H78/'2A'!$L$22,"")</f>
        <v/>
      </c>
      <c r="H78" s="1205">
        <v>0</v>
      </c>
      <c r="I78" s="1206">
        <f t="shared" ref="I78:V78" si="30">H78+(H78*$F78)</f>
        <v>0</v>
      </c>
      <c r="J78" s="1206">
        <f t="shared" si="30"/>
        <v>0</v>
      </c>
      <c r="K78" s="1206">
        <f t="shared" si="30"/>
        <v>0</v>
      </c>
      <c r="L78" s="1206">
        <f t="shared" si="30"/>
        <v>0</v>
      </c>
      <c r="M78" s="1206">
        <f t="shared" si="30"/>
        <v>0</v>
      </c>
      <c r="N78" s="1206">
        <f t="shared" si="30"/>
        <v>0</v>
      </c>
      <c r="O78" s="1206">
        <f t="shared" si="30"/>
        <v>0</v>
      </c>
      <c r="P78" s="1206">
        <f t="shared" si="30"/>
        <v>0</v>
      </c>
      <c r="Q78" s="1206">
        <f t="shared" si="30"/>
        <v>0</v>
      </c>
      <c r="R78" s="1206">
        <f t="shared" si="30"/>
        <v>0</v>
      </c>
      <c r="S78" s="1206">
        <f t="shared" si="30"/>
        <v>0</v>
      </c>
      <c r="T78" s="1206">
        <f t="shared" si="30"/>
        <v>0</v>
      </c>
      <c r="U78" s="1206">
        <f t="shared" si="30"/>
        <v>0</v>
      </c>
      <c r="V78" s="1207">
        <f t="shared" si="30"/>
        <v>0</v>
      </c>
      <c r="W78" s="1602"/>
    </row>
    <row r="79" spans="2:23" ht="15.75" thickBot="1" x14ac:dyDescent="0.3">
      <c r="B79" s="258"/>
      <c r="C79" s="278" t="s">
        <v>389</v>
      </c>
      <c r="D79" s="279"/>
      <c r="E79" s="789"/>
      <c r="F79" s="793">
        <v>0.03</v>
      </c>
      <c r="G79" s="1683" t="str">
        <f>IFERROR(H79/'2A'!$L$22,"")</f>
        <v/>
      </c>
      <c r="H79" s="1205">
        <v>0</v>
      </c>
      <c r="I79" s="1206">
        <f t="shared" ref="I79:V79" si="31">H79+(H79*$F79)</f>
        <v>0</v>
      </c>
      <c r="J79" s="1206">
        <f t="shared" si="31"/>
        <v>0</v>
      </c>
      <c r="K79" s="1206">
        <f t="shared" si="31"/>
        <v>0</v>
      </c>
      <c r="L79" s="1206">
        <f t="shared" si="31"/>
        <v>0</v>
      </c>
      <c r="M79" s="1206">
        <f t="shared" si="31"/>
        <v>0</v>
      </c>
      <c r="N79" s="1206">
        <f t="shared" si="31"/>
        <v>0</v>
      </c>
      <c r="O79" s="1206">
        <f t="shared" si="31"/>
        <v>0</v>
      </c>
      <c r="P79" s="1206">
        <f t="shared" si="31"/>
        <v>0</v>
      </c>
      <c r="Q79" s="1206">
        <f t="shared" si="31"/>
        <v>0</v>
      </c>
      <c r="R79" s="1206">
        <f t="shared" si="31"/>
        <v>0</v>
      </c>
      <c r="S79" s="1206">
        <f t="shared" si="31"/>
        <v>0</v>
      </c>
      <c r="T79" s="1206">
        <f t="shared" si="31"/>
        <v>0</v>
      </c>
      <c r="U79" s="1206">
        <f t="shared" si="31"/>
        <v>0</v>
      </c>
      <c r="V79" s="1207">
        <f t="shared" si="31"/>
        <v>0</v>
      </c>
      <c r="W79" s="1602"/>
    </row>
    <row r="80" spans="2:23" ht="15.75" thickBot="1" x14ac:dyDescent="0.3">
      <c r="B80" s="258"/>
      <c r="C80" s="278" t="s">
        <v>390</v>
      </c>
      <c r="D80" s="280"/>
      <c r="E80" s="789"/>
      <c r="F80" s="793">
        <v>0.03</v>
      </c>
      <c r="G80" s="1683" t="str">
        <f>IFERROR(H80/'2A'!$L$22,"")</f>
        <v/>
      </c>
      <c r="H80" s="1205">
        <v>0</v>
      </c>
      <c r="I80" s="1206">
        <f t="shared" ref="I80:V80" si="32">H80+(H80*$F80)</f>
        <v>0</v>
      </c>
      <c r="J80" s="1206">
        <f t="shared" si="32"/>
        <v>0</v>
      </c>
      <c r="K80" s="1206">
        <f t="shared" si="32"/>
        <v>0</v>
      </c>
      <c r="L80" s="1206">
        <f t="shared" si="32"/>
        <v>0</v>
      </c>
      <c r="M80" s="1206">
        <f t="shared" si="32"/>
        <v>0</v>
      </c>
      <c r="N80" s="1206">
        <f t="shared" si="32"/>
        <v>0</v>
      </c>
      <c r="O80" s="1206">
        <f t="shared" si="32"/>
        <v>0</v>
      </c>
      <c r="P80" s="1206">
        <f t="shared" si="32"/>
        <v>0</v>
      </c>
      <c r="Q80" s="1206">
        <f t="shared" si="32"/>
        <v>0</v>
      </c>
      <c r="R80" s="1206">
        <f t="shared" si="32"/>
        <v>0</v>
      </c>
      <c r="S80" s="1206">
        <f t="shared" si="32"/>
        <v>0</v>
      </c>
      <c r="T80" s="1206">
        <f t="shared" si="32"/>
        <v>0</v>
      </c>
      <c r="U80" s="1206">
        <f t="shared" si="32"/>
        <v>0</v>
      </c>
      <c r="V80" s="1207">
        <f t="shared" si="32"/>
        <v>0</v>
      </c>
      <c r="W80" s="1602"/>
    </row>
    <row r="81" spans="2:23" ht="15.75" thickBot="1" x14ac:dyDescent="0.3">
      <c r="B81" s="258"/>
      <c r="C81" s="278" t="s">
        <v>391</v>
      </c>
      <c r="D81" s="279"/>
      <c r="E81" s="789"/>
      <c r="F81" s="793">
        <v>0.03</v>
      </c>
      <c r="G81" s="1683" t="str">
        <f>IFERROR(H81/'2A'!$L$22,"")</f>
        <v/>
      </c>
      <c r="H81" s="1205">
        <v>0</v>
      </c>
      <c r="I81" s="1206">
        <f t="shared" ref="I81:V81" si="33">H81+(H81*$F81)</f>
        <v>0</v>
      </c>
      <c r="J81" s="1206">
        <f t="shared" si="33"/>
        <v>0</v>
      </c>
      <c r="K81" s="1206">
        <f t="shared" si="33"/>
        <v>0</v>
      </c>
      <c r="L81" s="1206">
        <f t="shared" si="33"/>
        <v>0</v>
      </c>
      <c r="M81" s="1206">
        <f t="shared" si="33"/>
        <v>0</v>
      </c>
      <c r="N81" s="1206">
        <f t="shared" si="33"/>
        <v>0</v>
      </c>
      <c r="O81" s="1206">
        <f t="shared" si="33"/>
        <v>0</v>
      </c>
      <c r="P81" s="1206">
        <f t="shared" si="33"/>
        <v>0</v>
      </c>
      <c r="Q81" s="1206">
        <f t="shared" si="33"/>
        <v>0</v>
      </c>
      <c r="R81" s="1206">
        <f t="shared" si="33"/>
        <v>0</v>
      </c>
      <c r="S81" s="1206">
        <f t="shared" si="33"/>
        <v>0</v>
      </c>
      <c r="T81" s="1206">
        <f t="shared" si="33"/>
        <v>0</v>
      </c>
      <c r="U81" s="1206">
        <f t="shared" si="33"/>
        <v>0</v>
      </c>
      <c r="V81" s="1207">
        <f t="shared" si="33"/>
        <v>0</v>
      </c>
      <c r="W81" s="1602"/>
    </row>
    <row r="82" spans="2:23" ht="15.75" thickBot="1" x14ac:dyDescent="0.3">
      <c r="B82" s="258"/>
      <c r="C82" s="278" t="s">
        <v>392</v>
      </c>
      <c r="D82" s="280"/>
      <c r="E82" s="789"/>
      <c r="F82" s="793">
        <v>0.03</v>
      </c>
      <c r="G82" s="1683" t="str">
        <f>IFERROR(H82/'2A'!$L$22,"")</f>
        <v/>
      </c>
      <c r="H82" s="1205">
        <v>0</v>
      </c>
      <c r="I82" s="1206">
        <f t="shared" ref="I82:V82" si="34">H82+(H82*$F82)</f>
        <v>0</v>
      </c>
      <c r="J82" s="1206">
        <f t="shared" si="34"/>
        <v>0</v>
      </c>
      <c r="K82" s="1206">
        <f t="shared" si="34"/>
        <v>0</v>
      </c>
      <c r="L82" s="1206">
        <f t="shared" si="34"/>
        <v>0</v>
      </c>
      <c r="M82" s="1206">
        <f t="shared" si="34"/>
        <v>0</v>
      </c>
      <c r="N82" s="1206">
        <f t="shared" si="34"/>
        <v>0</v>
      </c>
      <c r="O82" s="1206">
        <f t="shared" si="34"/>
        <v>0</v>
      </c>
      <c r="P82" s="1206">
        <f t="shared" si="34"/>
        <v>0</v>
      </c>
      <c r="Q82" s="1206">
        <f t="shared" si="34"/>
        <v>0</v>
      </c>
      <c r="R82" s="1206">
        <f t="shared" si="34"/>
        <v>0</v>
      </c>
      <c r="S82" s="1206">
        <f t="shared" si="34"/>
        <v>0</v>
      </c>
      <c r="T82" s="1206">
        <f t="shared" si="34"/>
        <v>0</v>
      </c>
      <c r="U82" s="1206">
        <f t="shared" si="34"/>
        <v>0</v>
      </c>
      <c r="V82" s="1207">
        <f t="shared" si="34"/>
        <v>0</v>
      </c>
      <c r="W82" s="1602"/>
    </row>
    <row r="83" spans="2:23" ht="15.75" thickBot="1" x14ac:dyDescent="0.3">
      <c r="B83" s="258"/>
      <c r="C83" s="278" t="s">
        <v>393</v>
      </c>
      <c r="D83" s="280"/>
      <c r="E83" s="789"/>
      <c r="F83" s="793">
        <v>0.03</v>
      </c>
      <c r="G83" s="1683" t="str">
        <f>IFERROR(H83/'2A'!$L$22,"")</f>
        <v/>
      </c>
      <c r="H83" s="1205">
        <v>0</v>
      </c>
      <c r="I83" s="1206">
        <f t="shared" ref="I83:V83" si="35">H83+(H83*$F83)</f>
        <v>0</v>
      </c>
      <c r="J83" s="1206">
        <f t="shared" si="35"/>
        <v>0</v>
      </c>
      <c r="K83" s="1206">
        <f t="shared" si="35"/>
        <v>0</v>
      </c>
      <c r="L83" s="1206">
        <f t="shared" si="35"/>
        <v>0</v>
      </c>
      <c r="M83" s="1206">
        <f t="shared" si="35"/>
        <v>0</v>
      </c>
      <c r="N83" s="1206">
        <f t="shared" si="35"/>
        <v>0</v>
      </c>
      <c r="O83" s="1206">
        <f t="shared" si="35"/>
        <v>0</v>
      </c>
      <c r="P83" s="1206">
        <f t="shared" si="35"/>
        <v>0</v>
      </c>
      <c r="Q83" s="1206">
        <f t="shared" si="35"/>
        <v>0</v>
      </c>
      <c r="R83" s="1206">
        <f t="shared" si="35"/>
        <v>0</v>
      </c>
      <c r="S83" s="1206">
        <f t="shared" si="35"/>
        <v>0</v>
      </c>
      <c r="T83" s="1206">
        <f t="shared" si="35"/>
        <v>0</v>
      </c>
      <c r="U83" s="1206">
        <f t="shared" si="35"/>
        <v>0</v>
      </c>
      <c r="V83" s="1207">
        <f t="shared" si="35"/>
        <v>0</v>
      </c>
      <c r="W83" s="1602"/>
    </row>
    <row r="84" spans="2:23" ht="15.75" thickBot="1" x14ac:dyDescent="0.3">
      <c r="B84" s="258"/>
      <c r="C84" s="278" t="s">
        <v>394</v>
      </c>
      <c r="D84" s="280"/>
      <c r="E84" s="789"/>
      <c r="F84" s="793">
        <v>0.03</v>
      </c>
      <c r="G84" s="1683" t="str">
        <f>IFERROR(H84/'2A'!$L$22,"")</f>
        <v/>
      </c>
      <c r="H84" s="1205">
        <v>0</v>
      </c>
      <c r="I84" s="1206">
        <f t="shared" ref="I84:V84" si="36">H84+(H84*$F84)</f>
        <v>0</v>
      </c>
      <c r="J84" s="1206">
        <f t="shared" si="36"/>
        <v>0</v>
      </c>
      <c r="K84" s="1206">
        <f t="shared" si="36"/>
        <v>0</v>
      </c>
      <c r="L84" s="1206">
        <f t="shared" si="36"/>
        <v>0</v>
      </c>
      <c r="M84" s="1206">
        <f t="shared" si="36"/>
        <v>0</v>
      </c>
      <c r="N84" s="1206">
        <f t="shared" si="36"/>
        <v>0</v>
      </c>
      <c r="O84" s="1206">
        <f t="shared" si="36"/>
        <v>0</v>
      </c>
      <c r="P84" s="1206">
        <f t="shared" si="36"/>
        <v>0</v>
      </c>
      <c r="Q84" s="1206">
        <f t="shared" si="36"/>
        <v>0</v>
      </c>
      <c r="R84" s="1206">
        <f t="shared" si="36"/>
        <v>0</v>
      </c>
      <c r="S84" s="1206">
        <f t="shared" si="36"/>
        <v>0</v>
      </c>
      <c r="T84" s="1206">
        <f t="shared" si="36"/>
        <v>0</v>
      </c>
      <c r="U84" s="1206">
        <f t="shared" si="36"/>
        <v>0</v>
      </c>
      <c r="V84" s="1207">
        <f t="shared" si="36"/>
        <v>0</v>
      </c>
      <c r="W84" s="1602"/>
    </row>
    <row r="85" spans="2:23" ht="15.75" thickBot="1" x14ac:dyDescent="0.3">
      <c r="B85" s="258"/>
      <c r="C85" s="278" t="s">
        <v>395</v>
      </c>
      <c r="D85" s="280"/>
      <c r="E85" s="789"/>
      <c r="F85" s="793">
        <v>0.03</v>
      </c>
      <c r="G85" s="1683" t="str">
        <f>IFERROR(H85/'2A'!$L$22,"")</f>
        <v/>
      </c>
      <c r="H85" s="1205">
        <v>0</v>
      </c>
      <c r="I85" s="1206">
        <f t="shared" ref="I85:V85" si="37">H85+(H85*$F85)</f>
        <v>0</v>
      </c>
      <c r="J85" s="1206">
        <f t="shared" si="37"/>
        <v>0</v>
      </c>
      <c r="K85" s="1206">
        <f t="shared" si="37"/>
        <v>0</v>
      </c>
      <c r="L85" s="1206">
        <f t="shared" si="37"/>
        <v>0</v>
      </c>
      <c r="M85" s="1206">
        <f t="shared" si="37"/>
        <v>0</v>
      </c>
      <c r="N85" s="1206">
        <f t="shared" si="37"/>
        <v>0</v>
      </c>
      <c r="O85" s="1206">
        <f t="shared" si="37"/>
        <v>0</v>
      </c>
      <c r="P85" s="1206">
        <f t="shared" si="37"/>
        <v>0</v>
      </c>
      <c r="Q85" s="1206">
        <f t="shared" si="37"/>
        <v>0</v>
      </c>
      <c r="R85" s="1206">
        <f t="shared" si="37"/>
        <v>0</v>
      </c>
      <c r="S85" s="1206">
        <f t="shared" si="37"/>
        <v>0</v>
      </c>
      <c r="T85" s="1206">
        <f t="shared" si="37"/>
        <v>0</v>
      </c>
      <c r="U85" s="1206">
        <f t="shared" si="37"/>
        <v>0</v>
      </c>
      <c r="V85" s="1207">
        <f t="shared" si="37"/>
        <v>0</v>
      </c>
      <c r="W85" s="1602"/>
    </row>
    <row r="86" spans="2:23" ht="15.75" thickBot="1" x14ac:dyDescent="0.3">
      <c r="B86" s="258"/>
      <c r="C86" s="278" t="s">
        <v>396</v>
      </c>
      <c r="D86" s="279"/>
      <c r="E86" s="789"/>
      <c r="F86" s="793">
        <v>0.03</v>
      </c>
      <c r="G86" s="1683" t="str">
        <f>IFERROR(H86/'2A'!$L$22,"")</f>
        <v/>
      </c>
      <c r="H86" s="1205">
        <v>0</v>
      </c>
      <c r="I86" s="1206">
        <f t="shared" ref="I86:V86" si="38">H86+(H86*$F86)</f>
        <v>0</v>
      </c>
      <c r="J86" s="1206">
        <f t="shared" si="38"/>
        <v>0</v>
      </c>
      <c r="K86" s="1206">
        <f t="shared" si="38"/>
        <v>0</v>
      </c>
      <c r="L86" s="1206">
        <f t="shared" si="38"/>
        <v>0</v>
      </c>
      <c r="M86" s="1206">
        <f t="shared" si="38"/>
        <v>0</v>
      </c>
      <c r="N86" s="1206">
        <f t="shared" si="38"/>
        <v>0</v>
      </c>
      <c r="O86" s="1206">
        <f t="shared" si="38"/>
        <v>0</v>
      </c>
      <c r="P86" s="1206">
        <f t="shared" si="38"/>
        <v>0</v>
      </c>
      <c r="Q86" s="1206">
        <f t="shared" si="38"/>
        <v>0</v>
      </c>
      <c r="R86" s="1206">
        <f t="shared" si="38"/>
        <v>0</v>
      </c>
      <c r="S86" s="1206">
        <f t="shared" si="38"/>
        <v>0</v>
      </c>
      <c r="T86" s="1206">
        <f t="shared" si="38"/>
        <v>0</v>
      </c>
      <c r="U86" s="1206">
        <f t="shared" si="38"/>
        <v>0</v>
      </c>
      <c r="V86" s="1207">
        <f t="shared" si="38"/>
        <v>0</v>
      </c>
      <c r="W86" s="1602"/>
    </row>
    <row r="87" spans="2:23" ht="15.75" thickBot="1" x14ac:dyDescent="0.3">
      <c r="B87" s="258"/>
      <c r="C87" s="278" t="s">
        <v>397</v>
      </c>
      <c r="D87" s="279"/>
      <c r="E87" s="789"/>
      <c r="F87" s="793">
        <v>0.03</v>
      </c>
      <c r="G87" s="1683" t="str">
        <f>IFERROR(H87/'2A'!$L$22,"")</f>
        <v/>
      </c>
      <c r="H87" s="1205">
        <v>0</v>
      </c>
      <c r="I87" s="1206">
        <f t="shared" ref="I87:V87" si="39">H87+(H87*$F87)</f>
        <v>0</v>
      </c>
      <c r="J87" s="1206">
        <f t="shared" si="39"/>
        <v>0</v>
      </c>
      <c r="K87" s="1206">
        <f t="shared" si="39"/>
        <v>0</v>
      </c>
      <c r="L87" s="1206">
        <f t="shared" si="39"/>
        <v>0</v>
      </c>
      <c r="M87" s="1206">
        <f t="shared" si="39"/>
        <v>0</v>
      </c>
      <c r="N87" s="1206">
        <f t="shared" si="39"/>
        <v>0</v>
      </c>
      <c r="O87" s="1206">
        <f t="shared" si="39"/>
        <v>0</v>
      </c>
      <c r="P87" s="1206">
        <f t="shared" si="39"/>
        <v>0</v>
      </c>
      <c r="Q87" s="1206">
        <f t="shared" si="39"/>
        <v>0</v>
      </c>
      <c r="R87" s="1206">
        <f t="shared" si="39"/>
        <v>0</v>
      </c>
      <c r="S87" s="1206">
        <f t="shared" si="39"/>
        <v>0</v>
      </c>
      <c r="T87" s="1206">
        <f t="shared" si="39"/>
        <v>0</v>
      </c>
      <c r="U87" s="1206">
        <f t="shared" si="39"/>
        <v>0</v>
      </c>
      <c r="V87" s="1207">
        <f t="shared" si="39"/>
        <v>0</v>
      </c>
      <c r="W87" s="1602"/>
    </row>
    <row r="88" spans="2:23" ht="15.75" thickBot="1" x14ac:dyDescent="0.3">
      <c r="B88" s="281"/>
      <c r="C88" s="278" t="s">
        <v>398</v>
      </c>
      <c r="D88" s="279"/>
      <c r="E88" s="789"/>
      <c r="F88" s="793">
        <v>0.03</v>
      </c>
      <c r="G88" s="1683" t="str">
        <f>IFERROR(H88/'2A'!$L$22,"")</f>
        <v/>
      </c>
      <c r="H88" s="1205">
        <v>0</v>
      </c>
      <c r="I88" s="1206">
        <f t="shared" ref="I88:V88" si="40">H88+(H88*$F88)</f>
        <v>0</v>
      </c>
      <c r="J88" s="1206">
        <f t="shared" si="40"/>
        <v>0</v>
      </c>
      <c r="K88" s="1206">
        <f t="shared" si="40"/>
        <v>0</v>
      </c>
      <c r="L88" s="1206">
        <f t="shared" si="40"/>
        <v>0</v>
      </c>
      <c r="M88" s="1206">
        <f t="shared" si="40"/>
        <v>0</v>
      </c>
      <c r="N88" s="1206">
        <f t="shared" si="40"/>
        <v>0</v>
      </c>
      <c r="O88" s="1206">
        <f t="shared" si="40"/>
        <v>0</v>
      </c>
      <c r="P88" s="1206">
        <f t="shared" si="40"/>
        <v>0</v>
      </c>
      <c r="Q88" s="1206">
        <f t="shared" si="40"/>
        <v>0</v>
      </c>
      <c r="R88" s="1206">
        <f t="shared" si="40"/>
        <v>0</v>
      </c>
      <c r="S88" s="1206">
        <f t="shared" si="40"/>
        <v>0</v>
      </c>
      <c r="T88" s="1206">
        <f t="shared" si="40"/>
        <v>0</v>
      </c>
      <c r="U88" s="1206">
        <f t="shared" si="40"/>
        <v>0</v>
      </c>
      <c r="V88" s="1207">
        <f t="shared" si="40"/>
        <v>0</v>
      </c>
      <c r="W88" s="1602"/>
    </row>
    <row r="89" spans="2:23" ht="15.75" thickBot="1" x14ac:dyDescent="0.3">
      <c r="B89" s="258"/>
      <c r="C89" s="278" t="s">
        <v>399</v>
      </c>
      <c r="D89" s="280"/>
      <c r="E89" s="789"/>
      <c r="F89" s="793">
        <v>0.03</v>
      </c>
      <c r="G89" s="1683" t="str">
        <f>IFERROR(H89/'2A'!$L$22,"")</f>
        <v/>
      </c>
      <c r="H89" s="1205">
        <v>0</v>
      </c>
      <c r="I89" s="1206">
        <f t="shared" ref="I89:V89" si="41">H89+(H89*$F89)</f>
        <v>0</v>
      </c>
      <c r="J89" s="1206">
        <f t="shared" si="41"/>
        <v>0</v>
      </c>
      <c r="K89" s="1206">
        <f t="shared" si="41"/>
        <v>0</v>
      </c>
      <c r="L89" s="1206">
        <f t="shared" si="41"/>
        <v>0</v>
      </c>
      <c r="M89" s="1206">
        <f t="shared" si="41"/>
        <v>0</v>
      </c>
      <c r="N89" s="1206">
        <f t="shared" si="41"/>
        <v>0</v>
      </c>
      <c r="O89" s="1206">
        <f t="shared" si="41"/>
        <v>0</v>
      </c>
      <c r="P89" s="1206">
        <f t="shared" si="41"/>
        <v>0</v>
      </c>
      <c r="Q89" s="1206">
        <f t="shared" si="41"/>
        <v>0</v>
      </c>
      <c r="R89" s="1206">
        <f t="shared" si="41"/>
        <v>0</v>
      </c>
      <c r="S89" s="1206">
        <f t="shared" si="41"/>
        <v>0</v>
      </c>
      <c r="T89" s="1206">
        <f t="shared" si="41"/>
        <v>0</v>
      </c>
      <c r="U89" s="1206">
        <f t="shared" si="41"/>
        <v>0</v>
      </c>
      <c r="V89" s="1207">
        <f t="shared" si="41"/>
        <v>0</v>
      </c>
      <c r="W89" s="1602"/>
    </row>
    <row r="90" spans="2:23" ht="15.75" thickBot="1" x14ac:dyDescent="0.3">
      <c r="B90" s="258"/>
      <c r="C90" s="278" t="s">
        <v>400</v>
      </c>
      <c r="D90" s="280"/>
      <c r="E90" s="789"/>
      <c r="F90" s="793">
        <v>0.03</v>
      </c>
      <c r="G90" s="1683" t="str">
        <f>IFERROR(H90/'2A'!$L$22,"")</f>
        <v/>
      </c>
      <c r="H90" s="1205">
        <v>0</v>
      </c>
      <c r="I90" s="1206">
        <f t="shared" ref="I90:V90" si="42">H90+(H90*$F90)</f>
        <v>0</v>
      </c>
      <c r="J90" s="1206">
        <f t="shared" si="42"/>
        <v>0</v>
      </c>
      <c r="K90" s="1206">
        <f t="shared" si="42"/>
        <v>0</v>
      </c>
      <c r="L90" s="1206">
        <f t="shared" si="42"/>
        <v>0</v>
      </c>
      <c r="M90" s="1206">
        <f t="shared" si="42"/>
        <v>0</v>
      </c>
      <c r="N90" s="1206">
        <f t="shared" si="42"/>
        <v>0</v>
      </c>
      <c r="O90" s="1206">
        <f t="shared" si="42"/>
        <v>0</v>
      </c>
      <c r="P90" s="1206">
        <f t="shared" si="42"/>
        <v>0</v>
      </c>
      <c r="Q90" s="1206">
        <f t="shared" si="42"/>
        <v>0</v>
      </c>
      <c r="R90" s="1206">
        <f t="shared" si="42"/>
        <v>0</v>
      </c>
      <c r="S90" s="1206">
        <f t="shared" si="42"/>
        <v>0</v>
      </c>
      <c r="T90" s="1206">
        <f t="shared" si="42"/>
        <v>0</v>
      </c>
      <c r="U90" s="1206">
        <f t="shared" si="42"/>
        <v>0</v>
      </c>
      <c r="V90" s="1207">
        <f t="shared" si="42"/>
        <v>0</v>
      </c>
      <c r="W90" s="1602"/>
    </row>
    <row r="91" spans="2:23" ht="15.75" thickBot="1" x14ac:dyDescent="0.3">
      <c r="B91" s="258"/>
      <c r="C91" s="282" t="s">
        <v>234</v>
      </c>
      <c r="D91" s="283"/>
      <c r="E91" s="789"/>
      <c r="F91" s="2260">
        <v>0.03</v>
      </c>
      <c r="G91" s="1684" t="str">
        <f>IFERROR(H91/'2A'!$L$22,"")</f>
        <v/>
      </c>
      <c r="H91" s="1208">
        <v>0</v>
      </c>
      <c r="I91" s="1209">
        <f t="shared" ref="I91:V91" si="43">H91+(H91*$F91)</f>
        <v>0</v>
      </c>
      <c r="J91" s="1209">
        <f t="shared" si="43"/>
        <v>0</v>
      </c>
      <c r="K91" s="1209">
        <f t="shared" si="43"/>
        <v>0</v>
      </c>
      <c r="L91" s="1209">
        <f t="shared" si="43"/>
        <v>0</v>
      </c>
      <c r="M91" s="1209">
        <f t="shared" si="43"/>
        <v>0</v>
      </c>
      <c r="N91" s="1209">
        <f t="shared" si="43"/>
        <v>0</v>
      </c>
      <c r="O91" s="1209">
        <f t="shared" si="43"/>
        <v>0</v>
      </c>
      <c r="P91" s="1209">
        <f t="shared" si="43"/>
        <v>0</v>
      </c>
      <c r="Q91" s="1209">
        <f t="shared" si="43"/>
        <v>0</v>
      </c>
      <c r="R91" s="1209">
        <f t="shared" si="43"/>
        <v>0</v>
      </c>
      <c r="S91" s="1209">
        <f t="shared" si="43"/>
        <v>0</v>
      </c>
      <c r="T91" s="1209">
        <f t="shared" si="43"/>
        <v>0</v>
      </c>
      <c r="U91" s="1209">
        <f t="shared" si="43"/>
        <v>0</v>
      </c>
      <c r="V91" s="1210">
        <f t="shared" si="43"/>
        <v>0</v>
      </c>
      <c r="W91" s="1602"/>
    </row>
    <row r="92" spans="2:23" ht="15.75" thickBot="1" x14ac:dyDescent="0.3">
      <c r="B92" s="258"/>
      <c r="C92" s="249" t="s">
        <v>401</v>
      </c>
      <c r="D92" s="265"/>
      <c r="E92" s="266"/>
      <c r="F92" s="266"/>
      <c r="G92" s="1685" t="str">
        <f>IFERROR(H92/'2A'!$L$22,"")</f>
        <v/>
      </c>
      <c r="H92" s="1150">
        <f>SUM(H71:H91)</f>
        <v>0</v>
      </c>
      <c r="I92" s="1151">
        <f t="shared" ref="I92:N92" si="44">SUM(I71:I91)</f>
        <v>0</v>
      </c>
      <c r="J92" s="1151">
        <f t="shared" si="44"/>
        <v>0</v>
      </c>
      <c r="K92" s="1151">
        <f t="shared" si="44"/>
        <v>0</v>
      </c>
      <c r="L92" s="1151">
        <f t="shared" si="44"/>
        <v>0</v>
      </c>
      <c r="M92" s="1151">
        <f t="shared" si="44"/>
        <v>0</v>
      </c>
      <c r="N92" s="1151">
        <f t="shared" si="44"/>
        <v>0</v>
      </c>
      <c r="O92" s="1151">
        <f t="shared" ref="O92:V92" si="45">SUM(O71:O91)</f>
        <v>0</v>
      </c>
      <c r="P92" s="1151">
        <f t="shared" si="45"/>
        <v>0</v>
      </c>
      <c r="Q92" s="1151">
        <f t="shared" si="45"/>
        <v>0</v>
      </c>
      <c r="R92" s="1151">
        <f t="shared" si="45"/>
        <v>0</v>
      </c>
      <c r="S92" s="1151">
        <f t="shared" si="45"/>
        <v>0</v>
      </c>
      <c r="T92" s="1151">
        <f t="shared" si="45"/>
        <v>0</v>
      </c>
      <c r="U92" s="1151">
        <f t="shared" si="45"/>
        <v>0</v>
      </c>
      <c r="V92" s="1152">
        <f t="shared" si="45"/>
        <v>0</v>
      </c>
      <c r="W92" s="1602"/>
    </row>
    <row r="93" spans="2:23" ht="15.75" thickBot="1" x14ac:dyDescent="0.3">
      <c r="B93" s="258"/>
      <c r="C93" s="249"/>
      <c r="D93" s="265"/>
      <c r="E93" s="274"/>
      <c r="G93" s="256"/>
      <c r="H93" s="246"/>
      <c r="I93" s="247"/>
      <c r="J93" s="247"/>
      <c r="K93" s="247"/>
      <c r="L93" s="247"/>
      <c r="M93" s="247"/>
      <c r="N93" s="247"/>
      <c r="O93" s="247"/>
      <c r="P93" s="247"/>
      <c r="Q93" s="247"/>
      <c r="R93" s="247"/>
      <c r="S93" s="247"/>
      <c r="T93" s="247"/>
      <c r="U93" s="247"/>
      <c r="V93" s="248"/>
      <c r="W93" s="1602"/>
    </row>
    <row r="94" spans="2:23" x14ac:dyDescent="0.25">
      <c r="B94" s="277"/>
      <c r="C94" s="249"/>
      <c r="D94" s="265"/>
      <c r="E94" s="265"/>
      <c r="F94"/>
      <c r="G94" s="287"/>
      <c r="H94" s="2246"/>
      <c r="I94" s="2246"/>
      <c r="J94" s="2246"/>
      <c r="K94" s="2246"/>
      <c r="L94" s="2246"/>
      <c r="M94" s="2246"/>
      <c r="N94" s="2246"/>
      <c r="O94" s="2246"/>
      <c r="P94" s="2246"/>
      <c r="Q94" s="2246"/>
      <c r="R94" s="2246"/>
      <c r="S94" s="2246"/>
      <c r="T94" s="2246"/>
      <c r="U94" s="2246"/>
      <c r="V94" s="2246"/>
      <c r="W94" s="1602"/>
    </row>
    <row r="95" spans="2:23" ht="15.75" thickBot="1" x14ac:dyDescent="0.3">
      <c r="B95" s="277"/>
      <c r="D95" s="265"/>
      <c r="E95" s="265"/>
      <c r="F95" s="1970"/>
      <c r="G95" s="287"/>
      <c r="H95" s="618"/>
      <c r="I95" s="618"/>
      <c r="J95" s="618"/>
      <c r="K95" s="618"/>
      <c r="L95" s="618"/>
      <c r="M95" s="618"/>
      <c r="N95" s="618"/>
      <c r="O95" s="618"/>
      <c r="P95" s="618"/>
      <c r="Q95" s="618"/>
      <c r="R95" s="618"/>
      <c r="S95" s="618"/>
      <c r="T95" s="618"/>
      <c r="U95" s="618"/>
      <c r="V95" s="618"/>
      <c r="W95" s="1602"/>
    </row>
    <row r="96" spans="2:23" ht="48.75" customHeight="1" thickBot="1" x14ac:dyDescent="0.3">
      <c r="B96" s="277"/>
      <c r="C96" s="2632" t="s">
        <v>1822</v>
      </c>
      <c r="D96" s="2632"/>
      <c r="E96" s="265"/>
      <c r="F96" s="738" t="s">
        <v>369</v>
      </c>
      <c r="G96" s="245" t="s">
        <v>380</v>
      </c>
      <c r="H96" s="239" t="s">
        <v>361</v>
      </c>
      <c r="I96" s="730" t="s">
        <v>362</v>
      </c>
      <c r="J96" s="730" t="s">
        <v>363</v>
      </c>
      <c r="K96" s="730" t="s">
        <v>364</v>
      </c>
      <c r="L96" s="730" t="s">
        <v>365</v>
      </c>
      <c r="M96" s="730" t="s">
        <v>366</v>
      </c>
      <c r="N96" s="730" t="s">
        <v>367</v>
      </c>
      <c r="O96" s="730" t="s">
        <v>420</v>
      </c>
      <c r="P96" s="730" t="s">
        <v>421</v>
      </c>
      <c r="Q96" s="730" t="s">
        <v>422</v>
      </c>
      <c r="R96" s="730" t="s">
        <v>423</v>
      </c>
      <c r="S96" s="730" t="s">
        <v>424</v>
      </c>
      <c r="T96" s="730" t="s">
        <v>425</v>
      </c>
      <c r="U96" s="730" t="s">
        <v>426</v>
      </c>
      <c r="V96" s="251" t="s">
        <v>427</v>
      </c>
      <c r="W96" s="1602"/>
    </row>
    <row r="97" spans="2:23" ht="15.75" thickBot="1" x14ac:dyDescent="0.3">
      <c r="B97" s="277"/>
      <c r="C97" s="2633"/>
      <c r="D97" s="2633"/>
      <c r="E97" s="790"/>
      <c r="F97" s="793">
        <v>0.03</v>
      </c>
      <c r="G97" s="1682" t="str">
        <f>IFERROR(H97/'2A'!$L$22,"")</f>
        <v/>
      </c>
      <c r="H97" s="2247">
        <v>0</v>
      </c>
      <c r="I97" s="1203">
        <f t="shared" ref="I97:V97" si="46">H97+(H97*$F97)</f>
        <v>0</v>
      </c>
      <c r="J97" s="1203">
        <f t="shared" si="46"/>
        <v>0</v>
      </c>
      <c r="K97" s="1203">
        <f t="shared" si="46"/>
        <v>0</v>
      </c>
      <c r="L97" s="1203">
        <f t="shared" si="46"/>
        <v>0</v>
      </c>
      <c r="M97" s="1203">
        <f t="shared" si="46"/>
        <v>0</v>
      </c>
      <c r="N97" s="1203">
        <f t="shared" si="46"/>
        <v>0</v>
      </c>
      <c r="O97" s="1203">
        <f t="shared" si="46"/>
        <v>0</v>
      </c>
      <c r="P97" s="1203">
        <f t="shared" si="46"/>
        <v>0</v>
      </c>
      <c r="Q97" s="1203">
        <f t="shared" si="46"/>
        <v>0</v>
      </c>
      <c r="R97" s="1203">
        <f t="shared" si="46"/>
        <v>0</v>
      </c>
      <c r="S97" s="1203">
        <f t="shared" si="46"/>
        <v>0</v>
      </c>
      <c r="T97" s="1203">
        <f t="shared" si="46"/>
        <v>0</v>
      </c>
      <c r="U97" s="1203">
        <f t="shared" si="46"/>
        <v>0</v>
      </c>
      <c r="V97" s="1204">
        <f t="shared" si="46"/>
        <v>0</v>
      </c>
      <c r="W97" s="1602"/>
    </row>
    <row r="98" spans="2:23" ht="15.75" thickBot="1" x14ac:dyDescent="0.3">
      <c r="B98" s="277"/>
      <c r="C98" s="2634"/>
      <c r="D98" s="2634"/>
      <c r="E98" s="789"/>
      <c r="F98" s="2260">
        <v>0.03</v>
      </c>
      <c r="G98" s="1684" t="str">
        <f>IFERROR(H98/'2A'!$L$22,"")</f>
        <v/>
      </c>
      <c r="H98" s="2240">
        <v>0</v>
      </c>
      <c r="I98" s="2241">
        <f t="shared" ref="I98:V98" si="47">H98+(H98*$F98)</f>
        <v>0</v>
      </c>
      <c r="J98" s="2241">
        <f t="shared" si="47"/>
        <v>0</v>
      </c>
      <c r="K98" s="2241">
        <f t="shared" si="47"/>
        <v>0</v>
      </c>
      <c r="L98" s="2241">
        <f t="shared" si="47"/>
        <v>0</v>
      </c>
      <c r="M98" s="2241">
        <f t="shared" si="47"/>
        <v>0</v>
      </c>
      <c r="N98" s="2241">
        <f t="shared" si="47"/>
        <v>0</v>
      </c>
      <c r="O98" s="2241">
        <f t="shared" si="47"/>
        <v>0</v>
      </c>
      <c r="P98" s="2241">
        <f t="shared" si="47"/>
        <v>0</v>
      </c>
      <c r="Q98" s="2241">
        <f t="shared" si="47"/>
        <v>0</v>
      </c>
      <c r="R98" s="2241">
        <f t="shared" si="47"/>
        <v>0</v>
      </c>
      <c r="S98" s="2241">
        <f t="shared" si="47"/>
        <v>0</v>
      </c>
      <c r="T98" s="2241">
        <f t="shared" si="47"/>
        <v>0</v>
      </c>
      <c r="U98" s="2241">
        <f t="shared" si="47"/>
        <v>0</v>
      </c>
      <c r="V98" s="2242">
        <f t="shared" si="47"/>
        <v>0</v>
      </c>
      <c r="W98" s="1602"/>
    </row>
    <row r="99" spans="2:23" ht="15.75" thickBot="1" x14ac:dyDescent="0.3">
      <c r="B99" s="277"/>
      <c r="C99" s="249" t="s">
        <v>1821</v>
      </c>
      <c r="D99" s="265"/>
      <c r="E99" s="265"/>
      <c r="F99" s="265"/>
      <c r="G99" s="1685" t="str">
        <f>IFERROR(H99/#REF!,"")</f>
        <v/>
      </c>
      <c r="H99" s="2243">
        <f t="shared" ref="H99:V99" si="48">SUM(H97:H98)</f>
        <v>0</v>
      </c>
      <c r="I99" s="2244">
        <f t="shared" si="48"/>
        <v>0</v>
      </c>
      <c r="J99" s="2244">
        <f t="shared" si="48"/>
        <v>0</v>
      </c>
      <c r="K99" s="2244">
        <f t="shared" si="48"/>
        <v>0</v>
      </c>
      <c r="L99" s="2244">
        <f t="shared" si="48"/>
        <v>0</v>
      </c>
      <c r="M99" s="2244">
        <f t="shared" si="48"/>
        <v>0</v>
      </c>
      <c r="N99" s="2244">
        <f t="shared" si="48"/>
        <v>0</v>
      </c>
      <c r="O99" s="2244">
        <f t="shared" si="48"/>
        <v>0</v>
      </c>
      <c r="P99" s="2244">
        <f t="shared" si="48"/>
        <v>0</v>
      </c>
      <c r="Q99" s="2244">
        <f t="shared" si="48"/>
        <v>0</v>
      </c>
      <c r="R99" s="2244">
        <f t="shared" si="48"/>
        <v>0</v>
      </c>
      <c r="S99" s="2244">
        <f t="shared" si="48"/>
        <v>0</v>
      </c>
      <c r="T99" s="2244">
        <f t="shared" si="48"/>
        <v>0</v>
      </c>
      <c r="U99" s="2244">
        <f t="shared" si="48"/>
        <v>0</v>
      </c>
      <c r="V99" s="2245">
        <f t="shared" si="48"/>
        <v>0</v>
      </c>
      <c r="W99" s="1602"/>
    </row>
    <row r="100" spans="2:23" ht="15.75" thickBot="1" x14ac:dyDescent="0.3">
      <c r="B100" s="277"/>
      <c r="C100" s="249"/>
      <c r="D100" s="265"/>
      <c r="E100" s="265"/>
      <c r="F100" s="265"/>
      <c r="G100" s="287"/>
      <c r="H100" s="618"/>
      <c r="I100" s="618"/>
      <c r="J100" s="618"/>
      <c r="K100" s="618"/>
      <c r="L100" s="618"/>
      <c r="M100" s="618"/>
      <c r="N100" s="618"/>
      <c r="O100" s="618"/>
      <c r="P100" s="618"/>
      <c r="Q100" s="618"/>
      <c r="R100" s="618"/>
      <c r="S100" s="618"/>
      <c r="T100" s="618"/>
      <c r="U100" s="618"/>
      <c r="V100" s="618"/>
      <c r="W100" s="1602"/>
    </row>
    <row r="101" spans="2:23" x14ac:dyDescent="0.25">
      <c r="B101" s="277"/>
      <c r="C101" s="284" t="s">
        <v>402</v>
      </c>
      <c r="D101" s="285"/>
      <c r="E101" s="790"/>
      <c r="F101" s="793">
        <v>0.03</v>
      </c>
      <c r="G101" s="1682" t="str">
        <f>IFERROR(H101/'2A'!$L$22,"")</f>
        <v/>
      </c>
      <c r="H101" s="2247">
        <v>0</v>
      </c>
      <c r="I101" s="1203">
        <f t="shared" ref="I101:V101" si="49">H101+(H101*$F101)</f>
        <v>0</v>
      </c>
      <c r="J101" s="1203">
        <f t="shared" si="49"/>
        <v>0</v>
      </c>
      <c r="K101" s="1203">
        <f t="shared" si="49"/>
        <v>0</v>
      </c>
      <c r="L101" s="1203">
        <f t="shared" si="49"/>
        <v>0</v>
      </c>
      <c r="M101" s="1203">
        <f t="shared" si="49"/>
        <v>0</v>
      </c>
      <c r="N101" s="1203">
        <f t="shared" si="49"/>
        <v>0</v>
      </c>
      <c r="O101" s="1203">
        <f t="shared" si="49"/>
        <v>0</v>
      </c>
      <c r="P101" s="1203">
        <f t="shared" si="49"/>
        <v>0</v>
      </c>
      <c r="Q101" s="1203">
        <f t="shared" si="49"/>
        <v>0</v>
      </c>
      <c r="R101" s="1203">
        <f t="shared" si="49"/>
        <v>0</v>
      </c>
      <c r="S101" s="1203">
        <f t="shared" si="49"/>
        <v>0</v>
      </c>
      <c r="T101" s="1203">
        <f t="shared" si="49"/>
        <v>0</v>
      </c>
      <c r="U101" s="1203">
        <f t="shared" si="49"/>
        <v>0</v>
      </c>
      <c r="V101" s="1204">
        <f t="shared" si="49"/>
        <v>0</v>
      </c>
      <c r="W101" s="1602"/>
    </row>
    <row r="102" spans="2:23" ht="15.75" thickBot="1" x14ac:dyDescent="0.3">
      <c r="B102" s="277"/>
      <c r="C102" s="286" t="s">
        <v>403</v>
      </c>
      <c r="D102" s="283"/>
      <c r="E102" s="789"/>
      <c r="F102" s="794">
        <v>0.03</v>
      </c>
      <c r="G102" s="1684" t="str">
        <f>IFERROR(H102/'2A'!$L$22,"")</f>
        <v/>
      </c>
      <c r="H102" s="1211">
        <v>0</v>
      </c>
      <c r="I102" s="1209">
        <f t="shared" ref="I102:V102" si="50">H102+(H102*$F102)</f>
        <v>0</v>
      </c>
      <c r="J102" s="1209">
        <f t="shared" si="50"/>
        <v>0</v>
      </c>
      <c r="K102" s="1209">
        <f t="shared" si="50"/>
        <v>0</v>
      </c>
      <c r="L102" s="1209">
        <f t="shared" si="50"/>
        <v>0</v>
      </c>
      <c r="M102" s="1209">
        <f t="shared" si="50"/>
        <v>0</v>
      </c>
      <c r="N102" s="1209">
        <f t="shared" si="50"/>
        <v>0</v>
      </c>
      <c r="O102" s="1209">
        <f t="shared" si="50"/>
        <v>0</v>
      </c>
      <c r="P102" s="1209">
        <f t="shared" si="50"/>
        <v>0</v>
      </c>
      <c r="Q102" s="1209">
        <f t="shared" si="50"/>
        <v>0</v>
      </c>
      <c r="R102" s="1209">
        <f t="shared" si="50"/>
        <v>0</v>
      </c>
      <c r="S102" s="1209">
        <f t="shared" si="50"/>
        <v>0</v>
      </c>
      <c r="T102" s="1209">
        <f t="shared" si="50"/>
        <v>0</v>
      </c>
      <c r="U102" s="1209">
        <f t="shared" si="50"/>
        <v>0</v>
      </c>
      <c r="V102" s="1210">
        <f t="shared" si="50"/>
        <v>0</v>
      </c>
      <c r="W102" s="1602"/>
    </row>
    <row r="103" spans="2:23" ht="15.75" thickBot="1" x14ac:dyDescent="0.3">
      <c r="B103" s="277"/>
      <c r="C103" s="249" t="s">
        <v>404</v>
      </c>
      <c r="D103" s="265"/>
      <c r="E103" s="265"/>
      <c r="F103" s="265"/>
      <c r="G103" s="287" t="str">
        <f>IFERROR(H103/#REF!,"")</f>
        <v/>
      </c>
      <c r="H103" s="2251">
        <f>SUM(H101:H102)</f>
        <v>0</v>
      </c>
      <c r="I103" s="2252">
        <f t="shared" ref="I103:N103" si="51">SUM(I101:I102)</f>
        <v>0</v>
      </c>
      <c r="J103" s="2252">
        <f t="shared" si="51"/>
        <v>0</v>
      </c>
      <c r="K103" s="2252">
        <f t="shared" si="51"/>
        <v>0</v>
      </c>
      <c r="L103" s="2252">
        <f t="shared" si="51"/>
        <v>0</v>
      </c>
      <c r="M103" s="2252">
        <f t="shared" si="51"/>
        <v>0</v>
      </c>
      <c r="N103" s="2252">
        <f t="shared" si="51"/>
        <v>0</v>
      </c>
      <c r="O103" s="2252">
        <f t="shared" ref="O103:V103" si="52">SUM(O101:O102)</f>
        <v>0</v>
      </c>
      <c r="P103" s="2252">
        <f t="shared" si="52"/>
        <v>0</v>
      </c>
      <c r="Q103" s="2252">
        <f t="shared" si="52"/>
        <v>0</v>
      </c>
      <c r="R103" s="2252">
        <f t="shared" si="52"/>
        <v>0</v>
      </c>
      <c r="S103" s="2252">
        <f t="shared" si="52"/>
        <v>0</v>
      </c>
      <c r="T103" s="2252">
        <f t="shared" si="52"/>
        <v>0</v>
      </c>
      <c r="U103" s="2252">
        <f t="shared" si="52"/>
        <v>0</v>
      </c>
      <c r="V103" s="2253">
        <f t="shared" si="52"/>
        <v>0</v>
      </c>
      <c r="W103" s="1602"/>
    </row>
    <row r="104" spans="2:23" ht="15.75" thickBot="1" x14ac:dyDescent="0.3">
      <c r="B104" s="277"/>
      <c r="C104" s="249"/>
      <c r="D104" s="265"/>
      <c r="E104" s="265"/>
      <c r="F104" s="265"/>
      <c r="G104" s="287"/>
      <c r="H104" s="618"/>
      <c r="I104" s="618"/>
      <c r="J104" s="618"/>
      <c r="K104" s="618"/>
      <c r="L104" s="618"/>
      <c r="M104" s="618"/>
      <c r="N104" s="618"/>
      <c r="O104" s="618"/>
      <c r="P104" s="618"/>
      <c r="Q104" s="618"/>
      <c r="R104" s="618"/>
      <c r="S104" s="618"/>
      <c r="T104" s="618"/>
      <c r="U104" s="618"/>
      <c r="V104" s="618"/>
      <c r="W104" s="1602"/>
    </row>
    <row r="105" spans="2:23" ht="15.75" thickBot="1" x14ac:dyDescent="0.3">
      <c r="B105" s="258"/>
      <c r="C105" s="288" t="s">
        <v>406</v>
      </c>
      <c r="D105" s="268"/>
      <c r="E105" s="614"/>
      <c r="F105" s="699">
        <v>0</v>
      </c>
      <c r="G105" s="268"/>
      <c r="H105" s="2254">
        <v>0</v>
      </c>
      <c r="I105" s="2255">
        <f t="shared" ref="I105:V105" si="53">H105+(H105*$F105)</f>
        <v>0</v>
      </c>
      <c r="J105" s="2255">
        <f t="shared" si="53"/>
        <v>0</v>
      </c>
      <c r="K105" s="2255">
        <f t="shared" si="53"/>
        <v>0</v>
      </c>
      <c r="L105" s="2255">
        <f t="shared" si="53"/>
        <v>0</v>
      </c>
      <c r="M105" s="2255">
        <f t="shared" si="53"/>
        <v>0</v>
      </c>
      <c r="N105" s="2255">
        <f t="shared" si="53"/>
        <v>0</v>
      </c>
      <c r="O105" s="2255">
        <f t="shared" si="53"/>
        <v>0</v>
      </c>
      <c r="P105" s="2255">
        <f t="shared" si="53"/>
        <v>0</v>
      </c>
      <c r="Q105" s="2255">
        <f t="shared" si="53"/>
        <v>0</v>
      </c>
      <c r="R105" s="2255">
        <f t="shared" si="53"/>
        <v>0</v>
      </c>
      <c r="S105" s="2255">
        <f t="shared" si="53"/>
        <v>0</v>
      </c>
      <c r="T105" s="2255">
        <f t="shared" si="53"/>
        <v>0</v>
      </c>
      <c r="U105" s="2255">
        <f t="shared" si="53"/>
        <v>0</v>
      </c>
      <c r="V105" s="2256">
        <f t="shared" si="53"/>
        <v>0</v>
      </c>
      <c r="W105" s="1602"/>
    </row>
    <row r="106" spans="2:23" ht="16.5" thickTop="1" thickBot="1" x14ac:dyDescent="0.3">
      <c r="B106" s="258"/>
      <c r="C106" s="273" t="s">
        <v>407</v>
      </c>
      <c r="D106" s="265"/>
      <c r="E106" s="265"/>
      <c r="F106" s="265"/>
      <c r="G106" s="266" t="s">
        <v>371</v>
      </c>
      <c r="H106" s="1212">
        <f t="shared" ref="H106:V106" si="54">H92+H103+H99+H39+H105</f>
        <v>0</v>
      </c>
      <c r="I106" s="1213">
        <f t="shared" si="54"/>
        <v>0</v>
      </c>
      <c r="J106" s="1213">
        <f t="shared" si="54"/>
        <v>0</v>
      </c>
      <c r="K106" s="1213">
        <f t="shared" si="54"/>
        <v>0</v>
      </c>
      <c r="L106" s="1213">
        <f t="shared" si="54"/>
        <v>0</v>
      </c>
      <c r="M106" s="1213">
        <f t="shared" si="54"/>
        <v>0</v>
      </c>
      <c r="N106" s="1213">
        <f t="shared" si="54"/>
        <v>0</v>
      </c>
      <c r="O106" s="1213">
        <f t="shared" si="54"/>
        <v>0</v>
      </c>
      <c r="P106" s="1213">
        <f t="shared" si="54"/>
        <v>0</v>
      </c>
      <c r="Q106" s="1213">
        <f t="shared" si="54"/>
        <v>0</v>
      </c>
      <c r="R106" s="1213">
        <f t="shared" si="54"/>
        <v>0</v>
      </c>
      <c r="S106" s="1213">
        <f t="shared" si="54"/>
        <v>0</v>
      </c>
      <c r="T106" s="1213">
        <f t="shared" si="54"/>
        <v>0</v>
      </c>
      <c r="U106" s="1213">
        <f t="shared" si="54"/>
        <v>0</v>
      </c>
      <c r="V106" s="1214">
        <f t="shared" si="54"/>
        <v>0</v>
      </c>
      <c r="W106" s="1602"/>
    </row>
    <row r="107" spans="2:23" ht="7.5" customHeight="1" thickBot="1" x14ac:dyDescent="0.3">
      <c r="B107" s="258"/>
      <c r="C107" s="265"/>
      <c r="D107" s="265"/>
      <c r="E107" s="265"/>
      <c r="F107" s="265"/>
      <c r="G107" s="265"/>
      <c r="H107" s="739"/>
      <c r="I107" s="739"/>
      <c r="J107" s="739"/>
      <c r="K107" s="739"/>
      <c r="L107" s="739"/>
      <c r="M107" s="739"/>
      <c r="N107" s="739"/>
      <c r="O107" s="739"/>
      <c r="P107" s="739"/>
      <c r="Q107" s="739"/>
      <c r="R107" s="739"/>
      <c r="S107" s="739"/>
      <c r="T107" s="739"/>
      <c r="U107" s="739"/>
      <c r="V107" s="739"/>
      <c r="W107" s="1602"/>
    </row>
    <row r="108" spans="2:23" ht="15.75" thickBot="1" x14ac:dyDescent="0.3">
      <c r="B108" s="258"/>
      <c r="C108" s="378"/>
      <c r="D108" s="265"/>
      <c r="E108" s="265"/>
      <c r="F108" s="1867" t="s">
        <v>408</v>
      </c>
      <c r="G108" s="266" t="s">
        <v>371</v>
      </c>
      <c r="H108" s="1168">
        <f t="shared" ref="H108:V108" si="55">(H36+H38)-H106</f>
        <v>0</v>
      </c>
      <c r="I108" s="1169">
        <f t="shared" si="55"/>
        <v>0</v>
      </c>
      <c r="J108" s="1169">
        <f t="shared" si="55"/>
        <v>0</v>
      </c>
      <c r="K108" s="1169">
        <f t="shared" si="55"/>
        <v>0</v>
      </c>
      <c r="L108" s="1169">
        <f t="shared" si="55"/>
        <v>0</v>
      </c>
      <c r="M108" s="1169">
        <f t="shared" si="55"/>
        <v>0</v>
      </c>
      <c r="N108" s="1169">
        <f t="shared" si="55"/>
        <v>0</v>
      </c>
      <c r="O108" s="1169">
        <f t="shared" si="55"/>
        <v>0</v>
      </c>
      <c r="P108" s="1169">
        <f t="shared" si="55"/>
        <v>0</v>
      </c>
      <c r="Q108" s="1169">
        <f t="shared" si="55"/>
        <v>0</v>
      </c>
      <c r="R108" s="1169">
        <f t="shared" si="55"/>
        <v>0</v>
      </c>
      <c r="S108" s="1169">
        <f t="shared" si="55"/>
        <v>0</v>
      </c>
      <c r="T108" s="1169">
        <f t="shared" si="55"/>
        <v>0</v>
      </c>
      <c r="U108" s="1169">
        <f t="shared" si="55"/>
        <v>0</v>
      </c>
      <c r="V108" s="1170">
        <f t="shared" si="55"/>
        <v>0</v>
      </c>
      <c r="W108" s="1602"/>
    </row>
    <row r="109" spans="2:23" s="395" customFormat="1" ht="7.5" customHeight="1" x14ac:dyDescent="0.25">
      <c r="B109" s="1613"/>
      <c r="C109" s="1095"/>
      <c r="D109" s="1095"/>
      <c r="E109" s="1095"/>
      <c r="F109" s="1095"/>
      <c r="G109" s="1095"/>
      <c r="H109" s="1095"/>
      <c r="I109" s="1095"/>
      <c r="J109" s="1095"/>
      <c r="K109" s="1095"/>
      <c r="L109" s="1095"/>
      <c r="M109" s="1095"/>
      <c r="N109" s="1095"/>
      <c r="O109" s="1095"/>
      <c r="P109" s="1095"/>
      <c r="Q109" s="1095"/>
      <c r="R109" s="1095"/>
      <c r="S109" s="1095"/>
      <c r="T109" s="1095"/>
      <c r="U109" s="1095"/>
      <c r="V109" s="1095"/>
      <c r="W109" s="1614"/>
    </row>
    <row r="110" spans="2:23" s="395" customFormat="1" x14ac:dyDescent="0.25">
      <c r="B110" s="1613"/>
      <c r="C110" s="1095"/>
      <c r="D110" s="1095"/>
      <c r="E110" s="1095"/>
      <c r="F110" s="1095"/>
      <c r="G110" s="1095"/>
      <c r="H110" s="1095"/>
      <c r="I110" s="1095"/>
      <c r="J110" s="1095"/>
      <c r="K110" s="1095"/>
      <c r="L110" s="1095"/>
      <c r="M110" s="1095"/>
      <c r="N110" s="1095"/>
      <c r="O110" s="1095"/>
      <c r="P110" s="1095"/>
      <c r="Q110" s="1095"/>
      <c r="R110" s="1095"/>
      <c r="S110" s="1095"/>
      <c r="T110" s="1095"/>
      <c r="U110" s="1095"/>
      <c r="V110" s="1095"/>
      <c r="W110" s="1614"/>
    </row>
    <row r="111" spans="2:23" s="395" customFormat="1" ht="15.75" thickBot="1" x14ac:dyDescent="0.3">
      <c r="B111" s="1613"/>
      <c r="C111" s="1095" t="s">
        <v>550</v>
      </c>
      <c r="D111" s="1095"/>
      <c r="E111" s="1095"/>
      <c r="F111" s="1095"/>
      <c r="G111" s="1095"/>
      <c r="H111" s="1095"/>
      <c r="I111" s="1095"/>
      <c r="J111" s="1095"/>
      <c r="K111" s="1095"/>
      <c r="L111" s="1095"/>
      <c r="M111" s="1095"/>
      <c r="N111" s="1095"/>
      <c r="O111" s="1095"/>
      <c r="P111" s="1095"/>
      <c r="Q111" s="1095"/>
      <c r="R111" s="1095"/>
      <c r="S111" s="1095"/>
      <c r="T111" s="1095"/>
      <c r="U111" s="1095"/>
      <c r="V111" s="1095"/>
      <c r="W111" s="1614"/>
    </row>
    <row r="112" spans="2:23" s="395" customFormat="1" x14ac:dyDescent="0.25">
      <c r="B112" s="1613"/>
      <c r="C112" s="2620"/>
      <c r="D112" s="2621"/>
      <c r="E112" s="2621"/>
      <c r="F112" s="2621"/>
      <c r="G112" s="2621"/>
      <c r="H112" s="2621"/>
      <c r="I112" s="2621"/>
      <c r="J112" s="2621"/>
      <c r="K112" s="2621"/>
      <c r="L112" s="2621"/>
      <c r="M112" s="2621"/>
      <c r="N112" s="2621"/>
      <c r="O112" s="2621"/>
      <c r="P112" s="2621"/>
      <c r="Q112" s="2621"/>
      <c r="R112" s="2621"/>
      <c r="S112" s="2621"/>
      <c r="T112" s="2621"/>
      <c r="U112" s="2621"/>
      <c r="V112" s="2622"/>
      <c r="W112" s="1614"/>
    </row>
    <row r="113" spans="2:23" s="395" customFormat="1" x14ac:dyDescent="0.25">
      <c r="B113" s="1613"/>
      <c r="C113" s="2623"/>
      <c r="D113" s="2624"/>
      <c r="E113" s="2624"/>
      <c r="F113" s="2624"/>
      <c r="G113" s="2624"/>
      <c r="H113" s="2624"/>
      <c r="I113" s="2624"/>
      <c r="J113" s="2624"/>
      <c r="K113" s="2624"/>
      <c r="L113" s="2624"/>
      <c r="M113" s="2624"/>
      <c r="N113" s="2624"/>
      <c r="O113" s="2624"/>
      <c r="P113" s="2624"/>
      <c r="Q113" s="2624"/>
      <c r="R113" s="2624"/>
      <c r="S113" s="2624"/>
      <c r="T113" s="2624"/>
      <c r="U113" s="2624"/>
      <c r="V113" s="2625"/>
      <c r="W113" s="1614"/>
    </row>
    <row r="114" spans="2:23" s="395" customFormat="1" x14ac:dyDescent="0.25">
      <c r="B114" s="1613"/>
      <c r="C114" s="2623"/>
      <c r="D114" s="2624"/>
      <c r="E114" s="2624"/>
      <c r="F114" s="2624"/>
      <c r="G114" s="2624"/>
      <c r="H114" s="2624"/>
      <c r="I114" s="2624"/>
      <c r="J114" s="2624"/>
      <c r="K114" s="2624"/>
      <c r="L114" s="2624"/>
      <c r="M114" s="2624"/>
      <c r="N114" s="2624"/>
      <c r="O114" s="2624"/>
      <c r="P114" s="2624"/>
      <c r="Q114" s="2624"/>
      <c r="R114" s="2624"/>
      <c r="S114" s="2624"/>
      <c r="T114" s="2624"/>
      <c r="U114" s="2624"/>
      <c r="V114" s="2625"/>
      <c r="W114" s="1614"/>
    </row>
    <row r="115" spans="2:23" s="395" customFormat="1" x14ac:dyDescent="0.25">
      <c r="B115" s="1613"/>
      <c r="C115" s="2623"/>
      <c r="D115" s="2624"/>
      <c r="E115" s="2624"/>
      <c r="F115" s="2624"/>
      <c r="G115" s="2624"/>
      <c r="H115" s="2624"/>
      <c r="I115" s="2624"/>
      <c r="J115" s="2624"/>
      <c r="K115" s="2624"/>
      <c r="L115" s="2624"/>
      <c r="M115" s="2624"/>
      <c r="N115" s="2624"/>
      <c r="O115" s="2624"/>
      <c r="P115" s="2624"/>
      <c r="Q115" s="2624"/>
      <c r="R115" s="2624"/>
      <c r="S115" s="2624"/>
      <c r="T115" s="2624"/>
      <c r="U115" s="2624"/>
      <c r="V115" s="2625"/>
      <c r="W115" s="1614"/>
    </row>
    <row r="116" spans="2:23" s="395" customFormat="1" ht="15.75" thickBot="1" x14ac:dyDescent="0.3">
      <c r="B116" s="1613"/>
      <c r="C116" s="2626"/>
      <c r="D116" s="2627"/>
      <c r="E116" s="2627"/>
      <c r="F116" s="2627"/>
      <c r="G116" s="2627"/>
      <c r="H116" s="2627"/>
      <c r="I116" s="2627"/>
      <c r="J116" s="2627"/>
      <c r="K116" s="2627"/>
      <c r="L116" s="2627"/>
      <c r="M116" s="2627"/>
      <c r="N116" s="2627"/>
      <c r="O116" s="2627"/>
      <c r="P116" s="2627"/>
      <c r="Q116" s="2627"/>
      <c r="R116" s="2627"/>
      <c r="S116" s="2627"/>
      <c r="T116" s="2627"/>
      <c r="U116" s="2627"/>
      <c r="V116" s="2628"/>
      <c r="W116" s="1614"/>
    </row>
    <row r="117" spans="2:23" s="395" customFormat="1" ht="15.75" thickBot="1" x14ac:dyDescent="0.3">
      <c r="B117" s="1615"/>
      <c r="C117" s="1616"/>
      <c r="D117" s="1616"/>
      <c r="E117" s="1616"/>
      <c r="F117" s="1616"/>
      <c r="G117" s="1616"/>
      <c r="H117" s="1616"/>
      <c r="I117" s="1616"/>
      <c r="J117" s="1616"/>
      <c r="K117" s="1616"/>
      <c r="L117" s="1616"/>
      <c r="M117" s="1616"/>
      <c r="N117" s="1616"/>
      <c r="O117" s="1616"/>
      <c r="P117" s="1616"/>
      <c r="Q117" s="1616"/>
      <c r="R117" s="1616"/>
      <c r="S117" s="1616"/>
      <c r="T117" s="1616"/>
      <c r="U117" s="1616"/>
      <c r="V117" s="1616"/>
      <c r="W117" s="1617"/>
    </row>
    <row r="118" spans="2:23" s="395" customFormat="1" ht="7.5" customHeight="1" x14ac:dyDescent="0.25"/>
    <row r="119" spans="2:23" s="395" customFormat="1" x14ac:dyDescent="0.25"/>
    <row r="120" spans="2:23" s="395" customFormat="1" x14ac:dyDescent="0.25"/>
    <row r="121" spans="2:23" s="395" customFormat="1" x14ac:dyDescent="0.25"/>
    <row r="122" spans="2:23" s="395" customFormat="1" ht="7.5" customHeight="1" x14ac:dyDescent="0.25"/>
    <row r="123" spans="2:23" s="395" customFormat="1" x14ac:dyDescent="0.25"/>
    <row r="124" spans="2:23" s="395" customFormat="1" ht="7.5" customHeight="1" x14ac:dyDescent="0.25"/>
    <row r="125" spans="2:23" s="395" customFormat="1" x14ac:dyDescent="0.25"/>
    <row r="126" spans="2:23" s="395" customFormat="1" x14ac:dyDescent="0.25"/>
    <row r="127" spans="2:23" s="395" customFormat="1" ht="7.5" customHeight="1" x14ac:dyDescent="0.25"/>
    <row r="128" spans="2:23" s="395" customFormat="1" x14ac:dyDescent="0.25"/>
    <row r="129" s="395" customFormat="1" x14ac:dyDescent="0.25"/>
    <row r="130" s="395" customFormat="1" x14ac:dyDescent="0.25"/>
    <row r="131" s="395" customFormat="1" x14ac:dyDescent="0.25"/>
    <row r="132" s="395" customFormat="1" x14ac:dyDescent="0.25"/>
    <row r="133" s="395" customFormat="1" x14ac:dyDescent="0.25"/>
    <row r="134" s="395" customFormat="1" x14ac:dyDescent="0.25"/>
    <row r="135" s="395" customFormat="1" x14ac:dyDescent="0.25"/>
    <row r="136" s="395" customFormat="1" x14ac:dyDescent="0.25"/>
    <row r="137" s="395" customFormat="1" x14ac:dyDescent="0.25"/>
    <row r="138" s="395" customFormat="1" x14ac:dyDescent="0.25"/>
    <row r="139" s="395" customFormat="1" x14ac:dyDescent="0.25"/>
    <row r="140" s="395" customFormat="1" x14ac:dyDescent="0.25"/>
    <row r="141" s="395" customFormat="1" x14ac:dyDescent="0.25"/>
    <row r="142" s="395" customFormat="1" x14ac:dyDescent="0.25"/>
    <row r="143" s="395" customFormat="1" x14ac:dyDescent="0.25"/>
    <row r="144" s="395" customFormat="1" x14ac:dyDescent="0.25"/>
    <row r="145" s="395" customFormat="1" ht="7.5" customHeight="1" x14ac:dyDescent="0.25"/>
    <row r="146" s="395" customFormat="1" x14ac:dyDescent="0.25"/>
    <row r="147" s="395" customFormat="1" x14ac:dyDescent="0.25"/>
    <row r="148" s="395" customFormat="1" ht="9" customHeight="1" x14ac:dyDescent="0.25"/>
  </sheetData>
  <sheetProtection algorithmName="SHA-512" hashValue="pYR1lLiGLqgwSnzqNfxazkEccgBkkdof7AP3S1i8R2cydmqGfVBp8VBZ68jY+D3QzHgAZj6gD5e+ySIv9DZcWQ==" saltValue="NHEA513zxAXTd6FaPA23WQ==" spinCount="100000" sheet="1" formatCells="0" formatColumns="0" formatRows="0"/>
  <mergeCells count="28">
    <mergeCell ref="C112:V116"/>
    <mergeCell ref="F54:G54"/>
    <mergeCell ref="F55:G55"/>
    <mergeCell ref="F57:G57"/>
    <mergeCell ref="F56:G56"/>
    <mergeCell ref="C54:E54"/>
    <mergeCell ref="C55:E55"/>
    <mergeCell ref="C56:E56"/>
    <mergeCell ref="C57:E57"/>
    <mergeCell ref="C96:D96"/>
    <mergeCell ref="C97:D97"/>
    <mergeCell ref="C98:D98"/>
    <mergeCell ref="C14:V14"/>
    <mergeCell ref="F47:G47"/>
    <mergeCell ref="C46:E46"/>
    <mergeCell ref="C47:E47"/>
    <mergeCell ref="C16:M16"/>
    <mergeCell ref="C28:F28"/>
    <mergeCell ref="C29:F29"/>
    <mergeCell ref="C24:F24"/>
    <mergeCell ref="C25:F25"/>
    <mergeCell ref="F48:G48"/>
    <mergeCell ref="F53:G53"/>
    <mergeCell ref="C48:E48"/>
    <mergeCell ref="E51:G51"/>
    <mergeCell ref="C44:D44"/>
    <mergeCell ref="F45:G45"/>
    <mergeCell ref="F46:G46"/>
  </mergeCells>
  <conditionalFormatting sqref="H51:V51">
    <cfRule type="cellIs" dxfId="7" priority="12" operator="lessThan">
      <formula>0</formula>
    </cfRule>
  </conditionalFormatting>
  <conditionalFormatting sqref="H36:V36 H42:V42 H51:V51 H61:V61 H108:V108">
    <cfRule type="cellIs" dxfId="6" priority="11" operator="lessThan">
      <formula>0</formula>
    </cfRule>
  </conditionalFormatting>
  <conditionalFormatting sqref="F101:F102">
    <cfRule type="cellIs" dxfId="5" priority="6" operator="notEqual">
      <formula>0.03</formula>
    </cfRule>
  </conditionalFormatting>
  <conditionalFormatting sqref="F39">
    <cfRule type="cellIs" dxfId="4" priority="5" operator="notEqual">
      <formula>0.03</formula>
    </cfRule>
  </conditionalFormatting>
  <conditionalFormatting sqref="F97:F98">
    <cfRule type="cellIs" dxfId="3" priority="2" operator="notEqual">
      <formula>0.03</formula>
    </cfRule>
  </conditionalFormatting>
  <conditionalFormatting sqref="F71:F91">
    <cfRule type="cellIs" dxfId="2" priority="1" operator="notEqual">
      <formula>0.03</formula>
    </cfRule>
  </conditionalFormatting>
  <dataValidations count="5">
    <dataValidation allowBlank="1" showInputMessage="1" showErrorMessage="1" promptTitle="Gross Tenant Paid Rental Income" prompt="Default Value = 2.5%" sqref="G23" xr:uid="{00000000-0002-0000-1C00-000000000000}"/>
    <dataValidation allowBlank="1" showInputMessage="1" showErrorMessage="1" promptTitle="Gross Rental HA/HUD/USDA Subsidy" prompt="Default Value = 2.5%" sqref="G24" xr:uid="{00000000-0002-0000-1C00-000001000000}"/>
    <dataValidation allowBlank="1" showInputMessage="1" showErrorMessage="1" promptTitle="Gross Rental Subsidy Income" prompt="Default Value = 2.5%" sqref="G25" xr:uid="{00000000-0002-0000-1C00-000002000000}"/>
    <dataValidation allowBlank="1" showInputMessage="1" showErrorMessage="1" promptTitle="Residential Vacancy Rate" prompt="Use estimate from Market Study, if applicable. _x000a__x000a_Default Value = 5.0%" sqref="G34" xr:uid="{00000000-0002-0000-1C00-000003000000}"/>
    <dataValidation allowBlank="1" showInputMessage="1" showErrorMessage="1" promptTitle="Non-Residential Vacancy Rate" prompt="Default Value = 10%" sqref="G35" xr:uid="{00000000-0002-0000-1C00-000004000000}"/>
  </dataValidations>
  <pageMargins left="0.25" right="0.25" top="0.75" bottom="0.75" header="0.3" footer="0.3"/>
  <pageSetup paperSize="5" scale="72" fitToHeight="2" orientation="landscape" r:id="rId1"/>
  <headerFooter>
    <oddFooter>&amp;LForm 8D
Operating Pro Forma&amp;CCFA Forms</oddFooter>
  </headerFooter>
  <rowBreaks count="1" manualBreakCount="1">
    <brk id="62" min="1" max="22"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6:K50"/>
  <sheetViews>
    <sheetView showGridLines="0" zoomScaleNormal="100" workbookViewId="0">
      <selection activeCell="I42" sqref="I42"/>
    </sheetView>
  </sheetViews>
  <sheetFormatPr defaultColWidth="9.140625" defaultRowHeight="15" x14ac:dyDescent="0.25"/>
  <cols>
    <col min="1" max="2" width="1.7109375" style="399" customWidth="1"/>
    <col min="3" max="3" width="14.28515625" style="399" customWidth="1"/>
    <col min="4" max="4" width="10" style="399" customWidth="1"/>
    <col min="5" max="5" width="74.28515625" style="399" customWidth="1"/>
    <col min="6" max="6" width="1.7109375" style="399" customWidth="1"/>
    <col min="7" max="16384" width="9.140625" style="399"/>
  </cols>
  <sheetData>
    <row r="6" spans="2:6" ht="15.75" thickBot="1" x14ac:dyDescent="0.3"/>
    <row r="7" spans="2:6" ht="9" customHeight="1" x14ac:dyDescent="0.25">
      <c r="B7" s="621"/>
      <c r="C7" s="622"/>
      <c r="D7" s="622"/>
      <c r="E7" s="623"/>
      <c r="F7" s="624"/>
    </row>
    <row r="8" spans="2:6" ht="18.75" x14ac:dyDescent="0.3">
      <c r="B8" s="625"/>
      <c r="C8" s="2421" t="s">
        <v>1450</v>
      </c>
      <c r="D8" s="2421"/>
      <c r="E8" s="2421"/>
      <c r="F8" s="626"/>
    </row>
    <row r="9" spans="2:6" x14ac:dyDescent="0.25">
      <c r="B9" s="625"/>
      <c r="C9" s="1844"/>
      <c r="D9" s="1844"/>
      <c r="E9" s="233"/>
      <c r="F9" s="626"/>
    </row>
    <row r="10" spans="2:6" ht="15.75" thickBot="1" x14ac:dyDescent="0.3">
      <c r="B10" s="625"/>
      <c r="C10" s="2490" t="str">
        <f>IF('1'!G5="","Enter Project Name on Form 1",(CONCATENATE("Project Name: ",'1'!G5)))</f>
        <v>Enter Project Name on Form 1</v>
      </c>
      <c r="D10" s="2490"/>
      <c r="E10" s="2490"/>
      <c r="F10" s="626"/>
    </row>
    <row r="11" spans="2:6" ht="22.5" customHeight="1" x14ac:dyDescent="0.25">
      <c r="B11" s="625"/>
      <c r="C11" s="290"/>
      <c r="D11" s="290"/>
      <c r="E11" s="422"/>
      <c r="F11" s="626"/>
    </row>
    <row r="12" spans="2:6" x14ac:dyDescent="0.25">
      <c r="B12" s="625"/>
      <c r="C12" s="627" t="s">
        <v>429</v>
      </c>
      <c r="D12" s="627"/>
      <c r="E12" s="233"/>
      <c r="F12" s="626"/>
    </row>
    <row r="13" spans="2:6" ht="15.75" thickBot="1" x14ac:dyDescent="0.3">
      <c r="B13" s="625"/>
      <c r="C13" s="130" t="s">
        <v>430</v>
      </c>
      <c r="D13" s="130"/>
      <c r="E13" s="628"/>
      <c r="F13" s="626"/>
    </row>
    <row r="14" spans="2:6" x14ac:dyDescent="0.25">
      <c r="B14" s="625"/>
      <c r="C14" s="2639"/>
      <c r="D14" s="2640"/>
      <c r="E14" s="2641"/>
      <c r="F14" s="626"/>
    </row>
    <row r="15" spans="2:6" x14ac:dyDescent="0.25">
      <c r="B15" s="625"/>
      <c r="C15" s="2642"/>
      <c r="D15" s="2643"/>
      <c r="E15" s="2644"/>
      <c r="F15" s="626"/>
    </row>
    <row r="16" spans="2:6" x14ac:dyDescent="0.25">
      <c r="B16" s="625"/>
      <c r="C16" s="2642"/>
      <c r="D16" s="2643"/>
      <c r="E16" s="2644"/>
      <c r="F16" s="626"/>
    </row>
    <row r="17" spans="1:11" ht="15.75" thickBot="1" x14ac:dyDescent="0.3">
      <c r="B17" s="625"/>
      <c r="C17" s="2645"/>
      <c r="D17" s="2646"/>
      <c r="E17" s="2647"/>
      <c r="F17" s="626"/>
    </row>
    <row r="18" spans="1:11" x14ac:dyDescent="0.25">
      <c r="B18" s="625"/>
      <c r="C18" s="133"/>
      <c r="D18" s="133"/>
      <c r="E18" s="628"/>
      <c r="F18" s="626"/>
    </row>
    <row r="19" spans="1:11" x14ac:dyDescent="0.25">
      <c r="A19" s="396"/>
      <c r="B19" s="625"/>
      <c r="C19" s="627" t="s">
        <v>431</v>
      </c>
      <c r="D19" s="627"/>
      <c r="E19" s="348"/>
      <c r="F19" s="629"/>
      <c r="G19" s="396"/>
      <c r="H19" s="396"/>
      <c r="I19" s="396"/>
      <c r="J19" s="396"/>
      <c r="K19" s="396"/>
    </row>
    <row r="20" spans="1:11" ht="7.5" customHeight="1" x14ac:dyDescent="0.25">
      <c r="A20" s="396"/>
      <c r="B20" s="625"/>
      <c r="C20" s="630"/>
      <c r="D20" s="630"/>
      <c r="E20" s="348"/>
      <c r="F20" s="629"/>
      <c r="G20" s="396"/>
      <c r="H20" s="396"/>
      <c r="I20" s="396"/>
      <c r="J20" s="396"/>
      <c r="K20" s="396"/>
    </row>
    <row r="21" spans="1:11" ht="15.75" thickBot="1" x14ac:dyDescent="0.3">
      <c r="A21" s="396"/>
      <c r="B21" s="625"/>
      <c r="C21" s="263" t="s">
        <v>379</v>
      </c>
      <c r="D21" s="263"/>
      <c r="E21" s="568"/>
      <c r="F21" s="629"/>
      <c r="G21" s="396"/>
      <c r="H21" s="396"/>
      <c r="I21" s="396"/>
      <c r="J21" s="396"/>
      <c r="K21" s="396"/>
    </row>
    <row r="22" spans="1:11" x14ac:dyDescent="0.25">
      <c r="A22" s="396"/>
      <c r="B22" s="625"/>
      <c r="C22" s="289" t="s">
        <v>381</v>
      </c>
      <c r="D22" s="289"/>
      <c r="E22" s="958" t="str">
        <f>IF('8D'!H71&lt;&gt;0,"Cost listed on Form 8E. Please provide detail here. (Overwrite this text with your answer)","")</f>
        <v/>
      </c>
      <c r="F22" s="629"/>
      <c r="G22" s="396"/>
      <c r="H22" s="396"/>
      <c r="I22" s="396"/>
      <c r="J22" s="396"/>
      <c r="K22" s="396"/>
    </row>
    <row r="23" spans="1:11" x14ac:dyDescent="0.25">
      <c r="A23" s="396"/>
      <c r="B23" s="625"/>
      <c r="C23" s="289" t="s">
        <v>382</v>
      </c>
      <c r="D23" s="289"/>
      <c r="E23" s="959" t="str">
        <f>IF('8D'!H72&lt;&gt;0,"Cost listed on Form 8E. Please provide detail here. (Overwrite this text with your answer)","")</f>
        <v/>
      </c>
      <c r="F23" s="629"/>
      <c r="G23" s="396"/>
      <c r="H23" s="396"/>
      <c r="I23" s="396"/>
      <c r="J23" s="396"/>
      <c r="K23" s="396"/>
    </row>
    <row r="24" spans="1:11" x14ac:dyDescent="0.25">
      <c r="A24" s="396"/>
      <c r="B24" s="625"/>
      <c r="C24" s="289" t="s">
        <v>383</v>
      </c>
      <c r="D24" s="289"/>
      <c r="E24" s="959" t="str">
        <f>IF('8D'!H73&lt;&gt;0,"Cost listed on Form 8E. Please provide detail here. (Overwrite this text with your answer)","")</f>
        <v/>
      </c>
      <c r="F24" s="629"/>
      <c r="G24" s="396"/>
      <c r="H24" s="396"/>
      <c r="I24" s="396"/>
      <c r="J24" s="396"/>
      <c r="K24" s="396"/>
    </row>
    <row r="25" spans="1:11" x14ac:dyDescent="0.25">
      <c r="A25" s="396"/>
      <c r="B25" s="625"/>
      <c r="C25" s="289" t="s">
        <v>384</v>
      </c>
      <c r="D25" s="289"/>
      <c r="E25" s="959" t="str">
        <f>IF('8D'!H74&lt;&gt;0,"Cost listed on Form 8E. Please provide detail here. (Overwrite this text with your answer)","")</f>
        <v/>
      </c>
      <c r="F25" s="629"/>
      <c r="G25" s="396"/>
      <c r="H25" s="396"/>
      <c r="I25" s="396"/>
      <c r="J25" s="396"/>
      <c r="K25" s="396"/>
    </row>
    <row r="26" spans="1:11" x14ac:dyDescent="0.25">
      <c r="A26" s="396"/>
      <c r="B26" s="625"/>
      <c r="C26" s="289" t="s">
        <v>385</v>
      </c>
      <c r="D26" s="289"/>
      <c r="E26" s="959" t="str">
        <f>IF('8D'!H75&lt;&gt;0,"Cost listed on Form 8E. Please provide detail here. (Overwrite this text with your answer)","")</f>
        <v/>
      </c>
      <c r="F26" s="629"/>
      <c r="G26" s="396"/>
      <c r="H26" s="396"/>
      <c r="I26" s="396"/>
      <c r="J26" s="396"/>
      <c r="K26" s="396"/>
    </row>
    <row r="27" spans="1:11" x14ac:dyDescent="0.25">
      <c r="A27" s="396"/>
      <c r="B27" s="625"/>
      <c r="C27" s="289" t="s">
        <v>386</v>
      </c>
      <c r="D27" s="289"/>
      <c r="E27" s="959" t="str">
        <f>IF('8D'!H76&lt;&gt;0,"Cost listed on Form 8E. Please provide detail here. (Overwrite this text with your answer)","")</f>
        <v/>
      </c>
      <c r="F27" s="629"/>
      <c r="G27" s="396"/>
      <c r="H27" s="396"/>
      <c r="I27" s="396"/>
      <c r="J27" s="396"/>
      <c r="K27" s="396"/>
    </row>
    <row r="28" spans="1:11" x14ac:dyDescent="0.25">
      <c r="A28" s="396"/>
      <c r="B28" s="625"/>
      <c r="C28" s="289" t="s">
        <v>387</v>
      </c>
      <c r="D28" s="289"/>
      <c r="E28" s="959" t="str">
        <f>IF('8D'!H77&lt;&gt;0,"Cost listed on Form 8E. Please provide detail here. (Overwrite this text with your answer)","")</f>
        <v/>
      </c>
      <c r="F28" s="629"/>
      <c r="G28" s="396"/>
      <c r="H28" s="396"/>
      <c r="I28" s="396"/>
      <c r="J28" s="396"/>
      <c r="K28" s="396"/>
    </row>
    <row r="29" spans="1:11" x14ac:dyDescent="0.25">
      <c r="A29" s="396"/>
      <c r="B29" s="625"/>
      <c r="C29" s="289" t="s">
        <v>388</v>
      </c>
      <c r="D29" s="289"/>
      <c r="E29" s="959" t="str">
        <f>IF('8D'!H78&lt;&gt;0,"Cost listed on Form 8E. Please provide detail here. (Overwrite this text with your answer)","")</f>
        <v/>
      </c>
      <c r="F29" s="629"/>
      <c r="G29" s="396"/>
      <c r="H29" s="396"/>
      <c r="I29" s="396"/>
      <c r="J29" s="396"/>
      <c r="K29" s="396"/>
    </row>
    <row r="30" spans="1:11" x14ac:dyDescent="0.25">
      <c r="A30" s="396"/>
      <c r="B30" s="625"/>
      <c r="C30" s="289" t="s">
        <v>389</v>
      </c>
      <c r="D30" s="289"/>
      <c r="E30" s="959" t="str">
        <f>IF('8D'!H79&lt;&gt;0,"Cost listed on Form 8E. Please provide detail here. (Overwrite this text with your answer)","")</f>
        <v/>
      </c>
      <c r="F30" s="629"/>
      <c r="G30" s="396"/>
      <c r="H30" s="396"/>
      <c r="I30" s="396"/>
      <c r="J30" s="396"/>
      <c r="K30" s="396"/>
    </row>
    <row r="31" spans="1:11" x14ac:dyDescent="0.25">
      <c r="A31" s="396"/>
      <c r="B31" s="625"/>
      <c r="C31" s="289" t="s">
        <v>390</v>
      </c>
      <c r="D31" s="289"/>
      <c r="E31" s="959" t="str">
        <f>IF('8D'!H80&lt;&gt;0,"Cost listed on Form 8E. Please provide detail here. (Overwrite this text with your answer)","")</f>
        <v/>
      </c>
      <c r="F31" s="629"/>
      <c r="G31" s="396"/>
      <c r="H31" s="396"/>
      <c r="I31" s="396"/>
      <c r="J31" s="396"/>
      <c r="K31" s="396"/>
    </row>
    <row r="32" spans="1:11" x14ac:dyDescent="0.25">
      <c r="A32" s="396"/>
      <c r="B32" s="625"/>
      <c r="C32" s="289" t="s">
        <v>391</v>
      </c>
      <c r="D32" s="289"/>
      <c r="E32" s="959" t="str">
        <f>IF('8D'!H81&lt;&gt;0,"Cost listed on Form 8E. Please provide detail here. (Overwrite this text with your answer)","")</f>
        <v/>
      </c>
      <c r="F32" s="629"/>
      <c r="G32" s="396"/>
      <c r="H32" s="396"/>
      <c r="I32" s="396"/>
      <c r="J32" s="396"/>
      <c r="K32" s="396"/>
    </row>
    <row r="33" spans="1:11" x14ac:dyDescent="0.25">
      <c r="A33" s="396"/>
      <c r="B33" s="625"/>
      <c r="C33" s="289" t="s">
        <v>392</v>
      </c>
      <c r="D33" s="289"/>
      <c r="E33" s="959" t="str">
        <f>IF('8D'!H82&lt;&gt;0,"Cost listed on Form 8E. Please provide detail here. (Overwrite this text with your answer)","")</f>
        <v/>
      </c>
      <c r="F33" s="629"/>
      <c r="G33" s="396"/>
      <c r="H33" s="396"/>
      <c r="I33" s="396"/>
      <c r="J33" s="396"/>
      <c r="K33" s="396"/>
    </row>
    <row r="34" spans="1:11" x14ac:dyDescent="0.25">
      <c r="A34" s="396"/>
      <c r="B34" s="625"/>
      <c r="C34" s="289" t="s">
        <v>393</v>
      </c>
      <c r="D34" s="289"/>
      <c r="E34" s="959" t="str">
        <f>IF('8D'!H83&lt;&gt;0,"Cost listed on Form 8E. Please provide detail here. (Overwrite this text with your answer)","")</f>
        <v/>
      </c>
      <c r="F34" s="629"/>
      <c r="G34" s="396"/>
      <c r="H34" s="396"/>
      <c r="I34" s="396"/>
      <c r="J34" s="396"/>
      <c r="K34" s="396"/>
    </row>
    <row r="35" spans="1:11" x14ac:dyDescent="0.25">
      <c r="A35" s="396"/>
      <c r="B35" s="625"/>
      <c r="C35" s="289" t="s">
        <v>394</v>
      </c>
      <c r="D35" s="289"/>
      <c r="E35" s="959" t="str">
        <f>IF('8D'!H84&lt;&gt;0,"Cost listed on Form 8E. Please provide detail here. (Overwrite this text with your answer)","")</f>
        <v/>
      </c>
      <c r="F35" s="629"/>
      <c r="G35" s="396"/>
      <c r="H35" s="396"/>
      <c r="I35" s="396"/>
      <c r="J35" s="396"/>
      <c r="K35" s="396"/>
    </row>
    <row r="36" spans="1:11" x14ac:dyDescent="0.25">
      <c r="A36" s="396"/>
      <c r="B36" s="625"/>
      <c r="C36" s="289" t="s">
        <v>395</v>
      </c>
      <c r="D36" s="289"/>
      <c r="E36" s="959" t="str">
        <f>IF('8D'!H85&lt;&gt;0,"Cost listed on Form 8E. Please provide detail here. (Overwrite this text with your answer)","")</f>
        <v/>
      </c>
      <c r="F36" s="629"/>
      <c r="G36" s="396"/>
      <c r="H36" s="396"/>
      <c r="I36" s="396"/>
      <c r="J36" s="396"/>
      <c r="K36" s="396"/>
    </row>
    <row r="37" spans="1:11" x14ac:dyDescent="0.25">
      <c r="A37" s="396"/>
      <c r="B37" s="625"/>
      <c r="C37" s="289" t="s">
        <v>396</v>
      </c>
      <c r="D37" s="289"/>
      <c r="E37" s="959" t="str">
        <f>IF('8D'!H86&lt;&gt;0,"Cost listed on Form 8E. Please provide detail here. (Overwrite this text with your answer)","")</f>
        <v/>
      </c>
      <c r="F37" s="629"/>
      <c r="G37" s="396"/>
      <c r="H37" s="396"/>
      <c r="I37" s="396"/>
      <c r="J37" s="396"/>
      <c r="K37" s="396"/>
    </row>
    <row r="38" spans="1:11" x14ac:dyDescent="0.25">
      <c r="A38" s="396"/>
      <c r="B38" s="625"/>
      <c r="C38" s="289" t="s">
        <v>397</v>
      </c>
      <c r="D38" s="289"/>
      <c r="E38" s="959" t="str">
        <f>IF('8D'!H87&lt;&gt;0,"Cost listed on Form 8E. Please provide detail here. (Overwrite this text with your answer)","")</f>
        <v/>
      </c>
      <c r="F38" s="629"/>
      <c r="G38" s="396"/>
      <c r="H38" s="396"/>
      <c r="I38" s="396"/>
      <c r="J38" s="396"/>
      <c r="K38" s="396"/>
    </row>
    <row r="39" spans="1:11" x14ac:dyDescent="0.25">
      <c r="A39" s="396"/>
      <c r="B39" s="625"/>
      <c r="C39" s="289" t="s">
        <v>398</v>
      </c>
      <c r="D39" s="289"/>
      <c r="E39" s="959" t="str">
        <f>IF('8D'!H88&lt;&gt;0,"Cost listed on Form 8E. Please provide detail here. (Overwrite this text with your answer)","")</f>
        <v/>
      </c>
      <c r="F39" s="629"/>
      <c r="G39" s="396"/>
      <c r="H39" s="396"/>
      <c r="I39" s="396"/>
      <c r="J39" s="396"/>
      <c r="K39" s="396"/>
    </row>
    <row r="40" spans="1:11" x14ac:dyDescent="0.25">
      <c r="A40" s="396"/>
      <c r="B40" s="625"/>
      <c r="C40" s="289" t="s">
        <v>399</v>
      </c>
      <c r="D40" s="289"/>
      <c r="E40" s="959" t="str">
        <f>IF('8D'!H89&lt;&gt;0,"Cost listed on Form 8E. Please provide detail here. (Overwrite this text with your answer)","")</f>
        <v/>
      </c>
      <c r="F40" s="629"/>
      <c r="G40" s="396"/>
      <c r="H40" s="396"/>
      <c r="I40" s="396"/>
      <c r="J40" s="396"/>
      <c r="K40" s="396"/>
    </row>
    <row r="41" spans="1:11" x14ac:dyDescent="0.25">
      <c r="A41" s="396"/>
      <c r="B41" s="625"/>
      <c r="C41" s="289" t="s">
        <v>400</v>
      </c>
      <c r="D41" s="289"/>
      <c r="E41" s="959" t="str">
        <f>IF('8D'!H90&lt;&gt;0,"Cost listed on Form 8E. Please provide detail here. (Overwrite this text with your answer)","")</f>
        <v/>
      </c>
      <c r="F41" s="629"/>
      <c r="G41" s="396"/>
      <c r="H41" s="396"/>
      <c r="I41" s="396"/>
      <c r="J41" s="396"/>
      <c r="K41" s="396"/>
    </row>
    <row r="42" spans="1:11" ht="30" customHeight="1" x14ac:dyDescent="0.25">
      <c r="A42" s="396"/>
      <c r="B42" s="625"/>
      <c r="C42" s="2635" t="s">
        <v>512</v>
      </c>
      <c r="D42" s="2636"/>
      <c r="E42" s="2637" t="str">
        <f>IF('8D'!H91&lt;&gt;0,"Cost listed on Form 8E. Please provide detail here. (Overwrite this text with your answer)","")</f>
        <v/>
      </c>
      <c r="F42" s="629"/>
      <c r="G42" s="396"/>
      <c r="H42" s="396"/>
      <c r="I42" s="396"/>
      <c r="J42" s="396"/>
      <c r="K42" s="396"/>
    </row>
    <row r="43" spans="1:11" ht="15.75" thickBot="1" x14ac:dyDescent="0.3">
      <c r="A43" s="396"/>
      <c r="B43" s="625"/>
      <c r="C43" s="293"/>
      <c r="D43" s="294"/>
      <c r="E43" s="2638" t="str">
        <f>IF('8D'!H93&lt;&gt;0,"Cost listed on Form 8E. Please provide detail here. (Overwrite this text with your answer)","")</f>
        <v/>
      </c>
      <c r="F43" s="629"/>
      <c r="G43" s="396"/>
      <c r="H43" s="396"/>
      <c r="I43" s="396"/>
      <c r="J43" s="396"/>
      <c r="K43" s="396"/>
    </row>
    <row r="44" spans="1:11" ht="15.75" thickBot="1" x14ac:dyDescent="0.3">
      <c r="A44" s="396"/>
      <c r="B44" s="625"/>
      <c r="C44" s="263" t="s">
        <v>432</v>
      </c>
      <c r="D44" s="263"/>
      <c r="E44" s="295"/>
      <c r="F44" s="629"/>
      <c r="G44" s="396"/>
      <c r="H44" s="396"/>
      <c r="I44" s="396"/>
      <c r="J44" s="396"/>
      <c r="K44" s="396"/>
    </row>
    <row r="45" spans="1:11" x14ac:dyDescent="0.25">
      <c r="A45" s="396"/>
      <c r="B45" s="625"/>
      <c r="C45" s="292" t="s">
        <v>402</v>
      </c>
      <c r="D45" s="292"/>
      <c r="E45" s="958"/>
      <c r="F45" s="629"/>
      <c r="G45" s="396"/>
      <c r="H45" s="396"/>
      <c r="I45" s="396"/>
      <c r="J45" s="396"/>
      <c r="K45" s="396"/>
    </row>
    <row r="46" spans="1:11" ht="15.75" thickBot="1" x14ac:dyDescent="0.3">
      <c r="A46" s="396"/>
      <c r="B46" s="625"/>
      <c r="C46" s="292" t="s">
        <v>403</v>
      </c>
      <c r="D46" s="292"/>
      <c r="E46" s="960"/>
      <c r="F46" s="629"/>
      <c r="G46" s="396"/>
      <c r="H46" s="396"/>
      <c r="I46" s="396"/>
      <c r="J46" s="396"/>
      <c r="K46" s="396"/>
    </row>
    <row r="47" spans="1:11" ht="15.75" thickBot="1" x14ac:dyDescent="0.3">
      <c r="A47" s="396"/>
      <c r="B47" s="631"/>
      <c r="C47" s="632"/>
      <c r="D47" s="632"/>
      <c r="E47" s="633"/>
      <c r="F47" s="634"/>
      <c r="G47" s="396"/>
      <c r="H47" s="396"/>
      <c r="I47" s="396"/>
      <c r="J47" s="396"/>
      <c r="K47" s="396"/>
    </row>
    <row r="48" spans="1:11" x14ac:dyDescent="0.25">
      <c r="A48" s="396"/>
      <c r="B48" s="396"/>
      <c r="C48" s="396"/>
      <c r="D48" s="396"/>
      <c r="E48" s="396"/>
      <c r="F48" s="396"/>
      <c r="G48" s="396"/>
      <c r="H48" s="396"/>
      <c r="I48" s="396"/>
      <c r="J48" s="396"/>
      <c r="K48" s="396"/>
    </row>
    <row r="49" spans="1:11" x14ac:dyDescent="0.25">
      <c r="A49" s="396"/>
      <c r="B49" s="396"/>
      <c r="C49" s="396"/>
      <c r="D49" s="396"/>
      <c r="E49" s="396"/>
      <c r="F49" s="396"/>
      <c r="G49" s="396"/>
      <c r="H49" s="396"/>
      <c r="I49" s="396"/>
      <c r="J49" s="396"/>
      <c r="K49" s="396"/>
    </row>
    <row r="50" spans="1:11" x14ac:dyDescent="0.25">
      <c r="A50" s="396"/>
      <c r="B50" s="396"/>
      <c r="C50" s="396"/>
      <c r="D50" s="396"/>
      <c r="E50" s="396"/>
      <c r="F50" s="396"/>
      <c r="G50" s="396"/>
      <c r="H50" s="396"/>
      <c r="I50" s="396"/>
      <c r="J50" s="396"/>
      <c r="K50" s="396"/>
    </row>
  </sheetData>
  <sheetProtection algorithmName="SHA-512" hashValue="hWMFkb3lkbBEt8y8fucYJgZWSqOAvbejTTYAW5liUsmlD2iwu05opNqZDTFzQPpBFHecYDq5QVegivlX2EIKBw==" saltValue="OZXM75Wxi+Ap+eHg5jt/Nw==" spinCount="100000" sheet="1" formatCells="0" formatColumns="0" formatRows="0"/>
  <mergeCells count="5">
    <mergeCell ref="C42:D42"/>
    <mergeCell ref="E42:E43"/>
    <mergeCell ref="C14:E17"/>
    <mergeCell ref="C8:E8"/>
    <mergeCell ref="C10:E10"/>
  </mergeCells>
  <conditionalFormatting sqref="E22:E46">
    <cfRule type="containsText" dxfId="1"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I90"/>
  <sheetViews>
    <sheetView showGridLines="0" zoomScaleNormal="100" workbookViewId="0">
      <selection activeCell="K77" sqref="K77:L77"/>
    </sheetView>
  </sheetViews>
  <sheetFormatPr defaultColWidth="9.140625" defaultRowHeight="15" x14ac:dyDescent="0.25"/>
  <cols>
    <col min="1" max="2" width="1.7109375" style="399" customWidth="1"/>
    <col min="3" max="4" width="22.85546875" style="399" customWidth="1"/>
    <col min="5" max="6" width="5.7109375" style="399" customWidth="1"/>
    <col min="7" max="7" width="9.140625" style="399"/>
    <col min="8" max="8" width="22.85546875" style="399" customWidth="1"/>
    <col min="9" max="9" width="1.7109375" style="399" customWidth="1"/>
    <col min="10" max="16384" width="9.140625" style="399"/>
  </cols>
  <sheetData>
    <row r="1" spans="2:9" s="396" customFormat="1" ht="15.75" thickBot="1" x14ac:dyDescent="0.3"/>
    <row r="2" spans="2:9" s="396" customFormat="1" ht="9" customHeight="1" x14ac:dyDescent="0.25">
      <c r="B2" s="635"/>
      <c r="C2" s="636"/>
      <c r="D2" s="636"/>
      <c r="E2" s="636"/>
      <c r="F2" s="636"/>
      <c r="G2" s="636"/>
      <c r="H2" s="636"/>
      <c r="I2" s="637"/>
    </row>
    <row r="3" spans="2:9" s="396" customFormat="1" ht="18.75" x14ac:dyDescent="0.3">
      <c r="B3" s="638"/>
      <c r="C3" s="2421" t="s">
        <v>433</v>
      </c>
      <c r="D3" s="2421"/>
      <c r="E3" s="2421"/>
      <c r="F3" s="2421"/>
      <c r="G3" s="2421"/>
      <c r="H3" s="2421"/>
      <c r="I3" s="639"/>
    </row>
    <row r="4" spans="2:9" s="396" customFormat="1" ht="15" customHeight="1" x14ac:dyDescent="0.25">
      <c r="B4" s="638"/>
      <c r="C4" s="492"/>
      <c r="D4" s="422"/>
      <c r="E4" s="422"/>
      <c r="F4" s="422"/>
      <c r="G4" s="422"/>
      <c r="H4" s="422"/>
      <c r="I4" s="639"/>
    </row>
    <row r="5" spans="2:9" s="396" customFormat="1" ht="15.75" thickBot="1" x14ac:dyDescent="0.3">
      <c r="B5" s="640"/>
      <c r="C5" s="2673" t="str">
        <f>IF('1'!G5="","Enter Project Name on Form 1",(CONCATENATE("Project Name: ",'1'!G5)))</f>
        <v>Enter Project Name on Form 1</v>
      </c>
      <c r="D5" s="2673"/>
      <c r="E5" s="2673"/>
      <c r="F5" s="2673"/>
      <c r="G5" s="2673"/>
      <c r="H5" s="1877"/>
      <c r="I5" s="641"/>
    </row>
    <row r="6" spans="2:9" s="396" customFormat="1" ht="15" customHeight="1" thickBot="1" x14ac:dyDescent="0.3">
      <c r="B6" s="638"/>
      <c r="C6" s="422"/>
      <c r="D6" s="422"/>
      <c r="E6" s="422"/>
      <c r="F6" s="422"/>
      <c r="G6" s="422"/>
      <c r="H6" s="422"/>
      <c r="I6" s="639"/>
    </row>
    <row r="7" spans="2:9" s="396" customFormat="1" x14ac:dyDescent="0.25">
      <c r="B7" s="638"/>
      <c r="C7" s="2661" t="s">
        <v>434</v>
      </c>
      <c r="D7" s="2662"/>
      <c r="E7" s="2662"/>
      <c r="F7" s="2662"/>
      <c r="G7" s="2662"/>
      <c r="H7" s="2663"/>
      <c r="I7" s="639"/>
    </row>
    <row r="8" spans="2:9" s="396" customFormat="1" x14ac:dyDescent="0.25">
      <c r="B8" s="638"/>
      <c r="C8" s="340" t="s">
        <v>435</v>
      </c>
      <c r="D8" s="2666" t="str">
        <f>IF('1'!G8="","Enter Organization Name on Form 1A",'1'!G8)</f>
        <v>Enter Organization Name on Form 1A</v>
      </c>
      <c r="E8" s="2666"/>
      <c r="F8" s="2666"/>
      <c r="G8" s="2666"/>
      <c r="H8" s="2674"/>
      <c r="I8" s="639"/>
    </row>
    <row r="9" spans="2:9" s="396" customFormat="1" x14ac:dyDescent="0.25">
      <c r="B9" s="638"/>
      <c r="C9" s="340" t="s">
        <v>436</v>
      </c>
      <c r="D9" s="2659"/>
      <c r="E9" s="2659"/>
      <c r="F9" s="2659"/>
      <c r="G9" s="2659"/>
      <c r="H9" s="2660"/>
      <c r="I9" s="639"/>
    </row>
    <row r="10" spans="2:9" s="396" customFormat="1" x14ac:dyDescent="0.25">
      <c r="B10" s="638"/>
      <c r="C10" s="340" t="s">
        <v>13</v>
      </c>
      <c r="D10" s="1874"/>
      <c r="E10" s="422" t="s">
        <v>437</v>
      </c>
      <c r="F10" s="1870"/>
      <c r="G10" s="422" t="s">
        <v>438</v>
      </c>
      <c r="H10" s="1875"/>
      <c r="I10" s="639"/>
    </row>
    <row r="11" spans="2:9" s="396" customFormat="1" x14ac:dyDescent="0.25">
      <c r="B11" s="638"/>
      <c r="C11" s="340" t="s">
        <v>439</v>
      </c>
      <c r="D11" s="2657"/>
      <c r="E11" s="2657"/>
      <c r="F11" s="2657"/>
      <c r="G11" s="2657"/>
      <c r="H11" s="2658"/>
      <c r="I11" s="639"/>
    </row>
    <row r="12" spans="2:9" s="396" customFormat="1" x14ac:dyDescent="0.25">
      <c r="B12" s="638"/>
      <c r="C12" s="349" t="s">
        <v>440</v>
      </c>
      <c r="D12" s="2664"/>
      <c r="E12" s="2664"/>
      <c r="F12" s="2664"/>
      <c r="G12" s="2664"/>
      <c r="H12" s="2665"/>
      <c r="I12" s="639"/>
    </row>
    <row r="13" spans="2:9" x14ac:dyDescent="0.25">
      <c r="B13" s="642"/>
      <c r="C13" s="296"/>
      <c r="D13" s="297"/>
      <c r="E13" s="298"/>
      <c r="F13" s="298"/>
      <c r="G13" s="298"/>
      <c r="H13" s="299"/>
      <c r="I13" s="643"/>
    </row>
    <row r="14" spans="2:9" s="396" customFormat="1" ht="26.25" x14ac:dyDescent="0.25">
      <c r="B14" s="638"/>
      <c r="C14" s="339" t="s">
        <v>441</v>
      </c>
      <c r="D14" s="2657"/>
      <c r="E14" s="2657"/>
      <c r="F14" s="2657"/>
      <c r="G14" s="2657"/>
      <c r="H14" s="2658"/>
      <c r="I14" s="639"/>
    </row>
    <row r="15" spans="2:9" s="396" customFormat="1" x14ac:dyDescent="0.25">
      <c r="B15" s="638"/>
      <c r="C15" s="340" t="s">
        <v>4</v>
      </c>
      <c r="D15" s="2308"/>
      <c r="E15" s="2308"/>
      <c r="F15" s="2308"/>
      <c r="G15" s="216" t="s">
        <v>442</v>
      </c>
      <c r="H15" s="1875"/>
      <c r="I15" s="639"/>
    </row>
    <row r="16" spans="2:9" s="396" customFormat="1" x14ac:dyDescent="0.25">
      <c r="B16" s="638"/>
      <c r="C16" s="340" t="s">
        <v>5</v>
      </c>
      <c r="D16" s="2657"/>
      <c r="E16" s="2657"/>
      <c r="F16" s="2657"/>
      <c r="G16" s="2657"/>
      <c r="H16" s="2658"/>
      <c r="I16" s="639"/>
    </row>
    <row r="17" spans="2:9" s="396" customFormat="1" x14ac:dyDescent="0.25">
      <c r="B17" s="638"/>
      <c r="C17" s="341" t="s">
        <v>443</v>
      </c>
      <c r="D17" s="2668" t="str">
        <f>IF('1'!G10="","Enter Contact Name on Form 1A",'1'!G10)</f>
        <v>Enter Contact Name on Form 1A</v>
      </c>
      <c r="E17" s="2668"/>
      <c r="F17" s="2668"/>
      <c r="G17" s="2668"/>
      <c r="H17" s="2669"/>
      <c r="I17" s="639"/>
    </row>
    <row r="18" spans="2:9" s="396" customFormat="1" x14ac:dyDescent="0.25">
      <c r="B18" s="638"/>
      <c r="C18" s="340" t="s">
        <v>4</v>
      </c>
      <c r="D18" s="2672" t="str">
        <f>IF('1'!G12="","Enter Phone Number on Form 1A",'1'!G12)</f>
        <v>Enter Phone Number on Form 1A</v>
      </c>
      <c r="E18" s="2672"/>
      <c r="F18" s="2672"/>
      <c r="G18" s="216" t="s">
        <v>442</v>
      </c>
      <c r="H18" s="1875"/>
      <c r="I18" s="639"/>
    </row>
    <row r="19" spans="2:9" s="396" customFormat="1" x14ac:dyDescent="0.25">
      <c r="B19" s="638"/>
      <c r="C19" s="340" t="s">
        <v>5</v>
      </c>
      <c r="D19" s="2670" t="str">
        <f>IF('1'!J12="","Enter Email on Form 1A",'1'!J12)</f>
        <v>Enter Email on Form 1A</v>
      </c>
      <c r="E19" s="2670"/>
      <c r="F19" s="2670"/>
      <c r="G19" s="2670"/>
      <c r="H19" s="2671"/>
      <c r="I19" s="639"/>
    </row>
    <row r="20" spans="2:9" s="396" customFormat="1" ht="15.75" thickBot="1" x14ac:dyDescent="0.3">
      <c r="B20" s="638"/>
      <c r="C20" s="342"/>
      <c r="D20" s="345"/>
      <c r="E20" s="345"/>
      <c r="F20" s="345"/>
      <c r="G20" s="345"/>
      <c r="H20" s="346"/>
      <c r="I20" s="639"/>
    </row>
    <row r="21" spans="2:9" s="396" customFormat="1" ht="7.5" customHeight="1" thickBot="1" x14ac:dyDescent="0.3">
      <c r="B21" s="638"/>
      <c r="C21" s="422"/>
      <c r="D21" s="422"/>
      <c r="E21" s="422"/>
      <c r="F21" s="422"/>
      <c r="G21" s="422"/>
      <c r="H21" s="422"/>
      <c r="I21" s="639"/>
    </row>
    <row r="22" spans="2:9" s="396" customFormat="1" x14ac:dyDescent="0.25">
      <c r="B22" s="638"/>
      <c r="C22" s="2661" t="s">
        <v>444</v>
      </c>
      <c r="D22" s="2662"/>
      <c r="E22" s="2662"/>
      <c r="F22" s="2662"/>
      <c r="G22" s="2662"/>
      <c r="H22" s="2663"/>
      <c r="I22" s="639"/>
    </row>
    <row r="23" spans="2:9" s="396" customFormat="1" x14ac:dyDescent="0.25">
      <c r="B23" s="638"/>
      <c r="C23" s="340" t="s">
        <v>435</v>
      </c>
      <c r="D23" s="2670" t="str">
        <f>IF('1'!G15="","Enter Firm Name on Form 1A, if applicable",'1'!G15)</f>
        <v>Enter Firm Name on Form 1A, if applicable</v>
      </c>
      <c r="E23" s="2670"/>
      <c r="F23" s="2670"/>
      <c r="G23" s="2670"/>
      <c r="H23" s="2671"/>
      <c r="I23" s="639"/>
    </row>
    <row r="24" spans="2:9" s="396" customFormat="1" x14ac:dyDescent="0.25">
      <c r="B24" s="638"/>
      <c r="C24" s="341" t="s">
        <v>443</v>
      </c>
      <c r="D24" s="2668" t="str">
        <f>IF('1'!G17="","Enter Contact Name on Form 1A",'1'!G17)</f>
        <v>Enter Contact Name on Form 1A</v>
      </c>
      <c r="E24" s="2668"/>
      <c r="F24" s="2668"/>
      <c r="G24" s="2668"/>
      <c r="H24" s="2669"/>
      <c r="I24" s="639"/>
    </row>
    <row r="25" spans="2:9" s="396" customFormat="1" x14ac:dyDescent="0.25">
      <c r="B25" s="638"/>
      <c r="C25" s="340" t="s">
        <v>436</v>
      </c>
      <c r="D25" s="2659"/>
      <c r="E25" s="2659"/>
      <c r="F25" s="2659"/>
      <c r="G25" s="2659"/>
      <c r="H25" s="2660"/>
      <c r="I25" s="639"/>
    </row>
    <row r="26" spans="2:9" s="396" customFormat="1" x14ac:dyDescent="0.25">
      <c r="B26" s="638"/>
      <c r="C26" s="340" t="s">
        <v>13</v>
      </c>
      <c r="D26" s="1874"/>
      <c r="E26" s="422" t="s">
        <v>437</v>
      </c>
      <c r="F26" s="1870"/>
      <c r="G26" s="422" t="s">
        <v>438</v>
      </c>
      <c r="H26" s="343"/>
      <c r="I26" s="639"/>
    </row>
    <row r="27" spans="2:9" s="396" customFormat="1" x14ac:dyDescent="0.25">
      <c r="B27" s="638"/>
      <c r="C27" s="340" t="s">
        <v>4</v>
      </c>
      <c r="D27" s="2670" t="str">
        <f>IF('1'!G19="","Enter Phone Number on Form 1A",'1'!G19)</f>
        <v>Enter Phone Number on Form 1A</v>
      </c>
      <c r="E27" s="2670"/>
      <c r="F27" s="216" t="s">
        <v>442</v>
      </c>
      <c r="G27" s="2308"/>
      <c r="H27" s="2667"/>
      <c r="I27" s="639"/>
    </row>
    <row r="28" spans="2:9" s="396" customFormat="1" x14ac:dyDescent="0.25">
      <c r="B28" s="638"/>
      <c r="C28" s="340" t="s">
        <v>5</v>
      </c>
      <c r="D28" s="2670" t="str">
        <f>IF('1'!J19="","Enter Email on Form 1A",'1'!J19)</f>
        <v>Enter Email on Form 1A</v>
      </c>
      <c r="E28" s="2670"/>
      <c r="F28" s="2670"/>
      <c r="G28" s="2670"/>
      <c r="H28" s="2671"/>
      <c r="I28" s="639"/>
    </row>
    <row r="29" spans="2:9" s="396" customFormat="1" ht="15.75" thickBot="1" x14ac:dyDescent="0.3">
      <c r="B29" s="638"/>
      <c r="C29" s="342"/>
      <c r="D29" s="345"/>
      <c r="E29" s="345"/>
      <c r="F29" s="345"/>
      <c r="G29" s="345"/>
      <c r="H29" s="346"/>
      <c r="I29" s="639"/>
    </row>
    <row r="30" spans="2:9" s="396" customFormat="1" ht="7.5" customHeight="1" thickBot="1" x14ac:dyDescent="0.3">
      <c r="B30" s="638"/>
      <c r="C30" s="344"/>
      <c r="D30" s="422"/>
      <c r="E30" s="422"/>
      <c r="F30" s="422"/>
      <c r="G30" s="422"/>
      <c r="H30" s="422"/>
      <c r="I30" s="639"/>
    </row>
    <row r="31" spans="2:9" s="396" customFormat="1" x14ac:dyDescent="0.25">
      <c r="B31" s="638"/>
      <c r="C31" s="2661" t="s">
        <v>181</v>
      </c>
      <c r="D31" s="2662"/>
      <c r="E31" s="2662"/>
      <c r="F31" s="2662"/>
      <c r="G31" s="2662"/>
      <c r="H31" s="2663"/>
      <c r="I31" s="639"/>
    </row>
    <row r="32" spans="2:9" s="396" customFormat="1" x14ac:dyDescent="0.25">
      <c r="B32" s="638"/>
      <c r="C32" s="340" t="s">
        <v>435</v>
      </c>
      <c r="D32" s="2657"/>
      <c r="E32" s="2657"/>
      <c r="F32" s="2657"/>
      <c r="G32" s="2657"/>
      <c r="H32" s="2658"/>
      <c r="I32" s="639"/>
    </row>
    <row r="33" spans="2:9" s="396" customFormat="1" x14ac:dyDescent="0.25">
      <c r="B33" s="638"/>
      <c r="C33" s="341" t="s">
        <v>443</v>
      </c>
      <c r="D33" s="2659"/>
      <c r="E33" s="2659"/>
      <c r="F33" s="2659"/>
      <c r="G33" s="2659"/>
      <c r="H33" s="2660"/>
      <c r="I33" s="639"/>
    </row>
    <row r="34" spans="2:9" s="396" customFormat="1" x14ac:dyDescent="0.25">
      <c r="B34" s="638"/>
      <c r="C34" s="340" t="s">
        <v>4</v>
      </c>
      <c r="D34" s="1873"/>
      <c r="E34" s="422" t="s">
        <v>5</v>
      </c>
      <c r="F34" s="2657"/>
      <c r="G34" s="2657"/>
      <c r="H34" s="2658"/>
      <c r="I34" s="639"/>
    </row>
    <row r="35" spans="2:9" s="396" customFormat="1" ht="15.75" thickBot="1" x14ac:dyDescent="0.3">
      <c r="B35" s="638"/>
      <c r="C35" s="342"/>
      <c r="D35" s="345"/>
      <c r="E35" s="345"/>
      <c r="F35" s="345"/>
      <c r="G35" s="345"/>
      <c r="H35" s="346"/>
      <c r="I35" s="639"/>
    </row>
    <row r="36" spans="2:9" s="396" customFormat="1" ht="7.5" customHeight="1" thickBot="1" x14ac:dyDescent="0.3">
      <c r="B36" s="638"/>
      <c r="C36" s="422"/>
      <c r="D36" s="422"/>
      <c r="E36" s="422"/>
      <c r="F36" s="422"/>
      <c r="G36" s="422"/>
      <c r="H36" s="422"/>
      <c r="I36" s="639"/>
    </row>
    <row r="37" spans="2:9" s="396" customFormat="1" x14ac:dyDescent="0.25">
      <c r="B37" s="638"/>
      <c r="C37" s="2661" t="s">
        <v>445</v>
      </c>
      <c r="D37" s="2662"/>
      <c r="E37" s="2662"/>
      <c r="F37" s="2662"/>
      <c r="G37" s="2662"/>
      <c r="H37" s="2663"/>
      <c r="I37" s="639"/>
    </row>
    <row r="38" spans="2:9" s="396" customFormat="1" x14ac:dyDescent="0.25">
      <c r="B38" s="638"/>
      <c r="C38" s="340" t="s">
        <v>435</v>
      </c>
      <c r="D38" s="2657"/>
      <c r="E38" s="2657"/>
      <c r="F38" s="2657"/>
      <c r="G38" s="2657"/>
      <c r="H38" s="2658"/>
      <c r="I38" s="639"/>
    </row>
    <row r="39" spans="2:9" s="396" customFormat="1" x14ac:dyDescent="0.25">
      <c r="B39" s="638"/>
      <c r="C39" s="341" t="s">
        <v>443</v>
      </c>
      <c r="D39" s="2659"/>
      <c r="E39" s="2659"/>
      <c r="F39" s="2659"/>
      <c r="G39" s="2659"/>
      <c r="H39" s="2660"/>
      <c r="I39" s="639"/>
    </row>
    <row r="40" spans="2:9" s="396" customFormat="1" x14ac:dyDescent="0.25">
      <c r="B40" s="638"/>
      <c r="C40" s="340" t="s">
        <v>4</v>
      </c>
      <c r="D40" s="1873"/>
      <c r="E40" s="422" t="s">
        <v>5</v>
      </c>
      <c r="F40" s="2657"/>
      <c r="G40" s="2657"/>
      <c r="H40" s="2658"/>
      <c r="I40" s="639"/>
    </row>
    <row r="41" spans="2:9" s="396" customFormat="1" ht="15.75" thickBot="1" x14ac:dyDescent="0.3">
      <c r="B41" s="638"/>
      <c r="C41" s="342"/>
      <c r="D41" s="345"/>
      <c r="E41" s="345"/>
      <c r="F41" s="345"/>
      <c r="G41" s="345"/>
      <c r="H41" s="346"/>
      <c r="I41" s="639"/>
    </row>
    <row r="42" spans="2:9" s="396" customFormat="1" ht="9" customHeight="1" thickBot="1" x14ac:dyDescent="0.3">
      <c r="B42" s="638"/>
      <c r="C42" s="347"/>
      <c r="D42" s="347"/>
      <c r="E42" s="347"/>
      <c r="F42" s="347"/>
      <c r="G42" s="347"/>
      <c r="H42" s="347"/>
      <c r="I42" s="639"/>
    </row>
    <row r="43" spans="2:9" s="396" customFormat="1" x14ac:dyDescent="0.25">
      <c r="B43" s="638"/>
      <c r="C43" s="2661" t="s">
        <v>446</v>
      </c>
      <c r="D43" s="2651"/>
      <c r="E43" s="2651"/>
      <c r="F43" s="2651"/>
      <c r="G43" s="2651"/>
      <c r="H43" s="2663"/>
      <c r="I43" s="639"/>
    </row>
    <row r="44" spans="2:9" s="396" customFormat="1" x14ac:dyDescent="0.25">
      <c r="B44" s="638"/>
      <c r="C44" s="340" t="s">
        <v>435</v>
      </c>
      <c r="D44" s="2657"/>
      <c r="E44" s="2657"/>
      <c r="F44" s="2657"/>
      <c r="G44" s="2657"/>
      <c r="H44" s="2658"/>
      <c r="I44" s="639"/>
    </row>
    <row r="45" spans="2:9" s="396" customFormat="1" x14ac:dyDescent="0.25">
      <c r="B45" s="638"/>
      <c r="C45" s="341" t="s">
        <v>443</v>
      </c>
      <c r="D45" s="2655"/>
      <c r="E45" s="2655"/>
      <c r="F45" s="2655"/>
      <c r="G45" s="2655"/>
      <c r="H45" s="2656"/>
      <c r="I45" s="639"/>
    </row>
    <row r="46" spans="2:9" s="396" customFormat="1" x14ac:dyDescent="0.25">
      <c r="B46" s="638"/>
      <c r="C46" s="340" t="s">
        <v>4</v>
      </c>
      <c r="D46" s="1876"/>
      <c r="E46" s="422" t="s">
        <v>5</v>
      </c>
      <c r="F46" s="2657"/>
      <c r="G46" s="2657"/>
      <c r="H46" s="2658"/>
      <c r="I46" s="639"/>
    </row>
    <row r="47" spans="2:9" s="396" customFormat="1" ht="15.75" thickBot="1" x14ac:dyDescent="0.3">
      <c r="B47" s="638"/>
      <c r="C47" s="342"/>
      <c r="D47" s="357"/>
      <c r="E47" s="357"/>
      <c r="F47" s="357"/>
      <c r="G47" s="357"/>
      <c r="H47" s="358"/>
      <c r="I47" s="639"/>
    </row>
    <row r="48" spans="2:9" s="396" customFormat="1" ht="7.5" customHeight="1" thickBot="1" x14ac:dyDescent="0.3">
      <c r="B48" s="619"/>
      <c r="C48" s="347"/>
      <c r="D48" s="347"/>
      <c r="E48" s="347"/>
      <c r="F48" s="347"/>
      <c r="G48" s="347"/>
      <c r="H48" s="347"/>
      <c r="I48" s="620"/>
    </row>
    <row r="49" spans="2:9" s="396" customFormat="1" ht="9" customHeight="1" x14ac:dyDescent="0.25">
      <c r="B49" s="635"/>
      <c r="C49" s="636"/>
      <c r="D49" s="636"/>
      <c r="E49" s="636"/>
      <c r="F49" s="636"/>
      <c r="G49" s="636"/>
      <c r="H49" s="636"/>
      <c r="I49" s="637"/>
    </row>
    <row r="50" spans="2:9" s="396" customFormat="1" ht="18.75" x14ac:dyDescent="0.3">
      <c r="B50" s="638"/>
      <c r="C50" s="2421" t="s">
        <v>538</v>
      </c>
      <c r="D50" s="2421"/>
      <c r="E50" s="2421"/>
      <c r="F50" s="2421"/>
      <c r="G50" s="2421"/>
      <c r="H50" s="2421"/>
      <c r="I50" s="639"/>
    </row>
    <row r="51" spans="2:9" s="396" customFormat="1" ht="15" customHeight="1" x14ac:dyDescent="0.25">
      <c r="B51" s="638"/>
      <c r="C51" s="492"/>
      <c r="D51" s="422"/>
      <c r="E51" s="422"/>
      <c r="F51" s="422"/>
      <c r="G51" s="422"/>
      <c r="H51" s="422"/>
      <c r="I51" s="639"/>
    </row>
    <row r="52" spans="2:9" s="396" customFormat="1" x14ac:dyDescent="0.25">
      <c r="B52" s="640"/>
      <c r="C52" s="378" t="s">
        <v>0</v>
      </c>
      <c r="D52" s="2666" t="str">
        <f>IF('1'!G5="","Enter Project Name on Form 1A",'1'!G5)</f>
        <v>Enter Project Name on Form 1A</v>
      </c>
      <c r="E52" s="2666"/>
      <c r="F52" s="2666"/>
      <c r="G52" s="2666"/>
      <c r="H52" s="2666"/>
      <c r="I52" s="641"/>
    </row>
    <row r="53" spans="2:9" s="396" customFormat="1" ht="15" customHeight="1" thickBot="1" x14ac:dyDescent="0.3">
      <c r="B53" s="638"/>
      <c r="C53" s="422"/>
      <c r="D53" s="422"/>
      <c r="E53" s="422"/>
      <c r="F53" s="422"/>
      <c r="G53" s="422"/>
      <c r="H53" s="422"/>
      <c r="I53" s="639"/>
    </row>
    <row r="54" spans="2:9" s="396" customFormat="1" x14ac:dyDescent="0.25">
      <c r="B54" s="638"/>
      <c r="C54" s="2650" t="s">
        <v>1758</v>
      </c>
      <c r="D54" s="2651"/>
      <c r="E54" s="2651"/>
      <c r="F54" s="2651"/>
      <c r="G54" s="2651"/>
      <c r="H54" s="2652"/>
      <c r="I54" s="639"/>
    </row>
    <row r="55" spans="2:9" s="396" customFormat="1" x14ac:dyDescent="0.25">
      <c r="B55" s="638"/>
      <c r="C55" s="2198" t="s">
        <v>1759</v>
      </c>
      <c r="D55" s="2653"/>
      <c r="E55" s="2653"/>
      <c r="F55" s="2653"/>
      <c r="G55" s="2653"/>
      <c r="H55" s="2654"/>
      <c r="I55" s="639"/>
    </row>
    <row r="56" spans="2:9" s="396" customFormat="1" x14ac:dyDescent="0.25">
      <c r="B56" s="638"/>
      <c r="C56" s="2198" t="s">
        <v>436</v>
      </c>
      <c r="D56" s="2655"/>
      <c r="E56" s="2655"/>
      <c r="F56" s="2655"/>
      <c r="G56" s="2655"/>
      <c r="H56" s="2656"/>
      <c r="I56" s="639"/>
    </row>
    <row r="57" spans="2:9" s="396" customFormat="1" x14ac:dyDescent="0.25">
      <c r="B57" s="638"/>
      <c r="C57" s="2198" t="s">
        <v>13</v>
      </c>
      <c r="D57" s="2109"/>
      <c r="E57" s="422" t="s">
        <v>437</v>
      </c>
      <c r="F57" s="2107"/>
      <c r="G57" s="422" t="s">
        <v>438</v>
      </c>
      <c r="H57" s="2110"/>
      <c r="I57" s="639"/>
    </row>
    <row r="58" spans="2:9" s="396" customFormat="1" x14ac:dyDescent="0.25">
      <c r="B58" s="638"/>
      <c r="C58" s="341" t="s">
        <v>443</v>
      </c>
      <c r="D58" s="2659"/>
      <c r="E58" s="2659"/>
      <c r="F58" s="2659"/>
      <c r="G58" s="2659"/>
      <c r="H58" s="2660"/>
      <c r="I58" s="639"/>
    </row>
    <row r="59" spans="2:9" s="396" customFormat="1" x14ac:dyDescent="0.25">
      <c r="B59" s="638"/>
      <c r="C59" s="340" t="s">
        <v>4</v>
      </c>
      <c r="D59" s="2239"/>
      <c r="E59" s="422" t="s">
        <v>5</v>
      </c>
      <c r="F59" s="2657"/>
      <c r="G59" s="2657"/>
      <c r="H59" s="2658"/>
      <c r="I59" s="639"/>
    </row>
    <row r="60" spans="2:9" s="396" customFormat="1" x14ac:dyDescent="0.25">
      <c r="B60" s="638"/>
      <c r="C60" s="2198" t="s">
        <v>439</v>
      </c>
      <c r="D60" s="2657"/>
      <c r="E60" s="2657"/>
      <c r="F60" s="2657"/>
      <c r="G60" s="2657"/>
      <c r="H60" s="2658"/>
      <c r="I60" s="639"/>
    </row>
    <row r="61" spans="2:9" s="396" customFormat="1" ht="15.75" thickBot="1" x14ac:dyDescent="0.3">
      <c r="B61" s="638"/>
      <c r="C61" s="2199"/>
      <c r="D61" s="2648"/>
      <c r="E61" s="2648"/>
      <c r="F61" s="2648"/>
      <c r="G61" s="2648"/>
      <c r="H61" s="2649"/>
      <c r="I61" s="639"/>
    </row>
    <row r="62" spans="2:9" s="396" customFormat="1" ht="7.5" customHeight="1" thickBot="1" x14ac:dyDescent="0.3">
      <c r="B62" s="638"/>
      <c r="C62" s="422"/>
      <c r="D62" s="422"/>
      <c r="E62" s="422"/>
      <c r="F62" s="422"/>
      <c r="G62" s="422"/>
      <c r="H62" s="422"/>
      <c r="I62" s="639"/>
    </row>
    <row r="63" spans="2:9" s="396" customFormat="1" x14ac:dyDescent="0.25">
      <c r="B63" s="638"/>
      <c r="C63" s="2661" t="s">
        <v>447</v>
      </c>
      <c r="D63" s="2662"/>
      <c r="E63" s="2662"/>
      <c r="F63" s="2662"/>
      <c r="G63" s="2662"/>
      <c r="H63" s="2663"/>
      <c r="I63" s="639"/>
    </row>
    <row r="64" spans="2:9" s="396" customFormat="1" x14ac:dyDescent="0.25">
      <c r="B64" s="638"/>
      <c r="C64" s="340" t="s">
        <v>435</v>
      </c>
      <c r="D64" s="2657"/>
      <c r="E64" s="2657"/>
      <c r="F64" s="2657"/>
      <c r="G64" s="2657"/>
      <c r="H64" s="2658"/>
      <c r="I64" s="639"/>
    </row>
    <row r="65" spans="2:9" s="396" customFormat="1" x14ac:dyDescent="0.25">
      <c r="B65" s="638"/>
      <c r="C65" s="341" t="s">
        <v>443</v>
      </c>
      <c r="D65" s="2659"/>
      <c r="E65" s="2659"/>
      <c r="F65" s="2659"/>
      <c r="G65" s="2659"/>
      <c r="H65" s="2660"/>
      <c r="I65" s="639"/>
    </row>
    <row r="66" spans="2:9" s="396" customFormat="1" x14ac:dyDescent="0.25">
      <c r="B66" s="638"/>
      <c r="C66" s="340" t="s">
        <v>436</v>
      </c>
      <c r="D66" s="2659"/>
      <c r="E66" s="2659"/>
      <c r="F66" s="2659"/>
      <c r="G66" s="2659"/>
      <c r="H66" s="2660"/>
      <c r="I66" s="639"/>
    </row>
    <row r="67" spans="2:9" s="396" customFormat="1" x14ac:dyDescent="0.25">
      <c r="B67" s="638"/>
      <c r="C67" s="340" t="s">
        <v>13</v>
      </c>
      <c r="D67" s="1874"/>
      <c r="E67" s="422" t="s">
        <v>437</v>
      </c>
      <c r="F67" s="1870"/>
      <c r="G67" s="422" t="s">
        <v>438</v>
      </c>
      <c r="H67" s="1875"/>
      <c r="I67" s="639"/>
    </row>
    <row r="68" spans="2:9" s="396" customFormat="1" x14ac:dyDescent="0.25">
      <c r="B68" s="638"/>
      <c r="C68" s="340" t="s">
        <v>4</v>
      </c>
      <c r="D68" s="1873"/>
      <c r="E68" s="422" t="s">
        <v>5</v>
      </c>
      <c r="F68" s="2657"/>
      <c r="G68" s="2657"/>
      <c r="H68" s="2658"/>
      <c r="I68" s="639"/>
    </row>
    <row r="69" spans="2:9" s="396" customFormat="1" ht="15.75" thickBot="1" x14ac:dyDescent="0.3">
      <c r="B69" s="640"/>
      <c r="C69" s="342"/>
      <c r="D69" s="345"/>
      <c r="E69" s="345"/>
      <c r="F69" s="345"/>
      <c r="G69" s="345"/>
      <c r="H69" s="346"/>
      <c r="I69" s="641"/>
    </row>
    <row r="70" spans="2:9" s="396" customFormat="1" ht="7.5" customHeight="1" thickBot="1" x14ac:dyDescent="0.3">
      <c r="B70" s="638"/>
      <c r="C70" s="348"/>
      <c r="D70" s="1871"/>
      <c r="E70" s="1871"/>
      <c r="F70" s="1871"/>
      <c r="G70" s="1871"/>
      <c r="H70" s="348"/>
      <c r="I70" s="639"/>
    </row>
    <row r="71" spans="2:9" s="396" customFormat="1" x14ac:dyDescent="0.25">
      <c r="B71" s="638"/>
      <c r="C71" s="2661" t="s">
        <v>448</v>
      </c>
      <c r="D71" s="2662"/>
      <c r="E71" s="2662"/>
      <c r="F71" s="2662"/>
      <c r="G71" s="2662"/>
      <c r="H71" s="2663"/>
      <c r="I71" s="639"/>
    </row>
    <row r="72" spans="2:9" s="396" customFormat="1" x14ac:dyDescent="0.25">
      <c r="B72" s="638"/>
      <c r="C72" s="340" t="s">
        <v>435</v>
      </c>
      <c r="D72" s="2657"/>
      <c r="E72" s="2657"/>
      <c r="F72" s="2657"/>
      <c r="G72" s="2657"/>
      <c r="H72" s="2658"/>
      <c r="I72" s="639"/>
    </row>
    <row r="73" spans="2:9" s="396" customFormat="1" x14ac:dyDescent="0.25">
      <c r="B73" s="638"/>
      <c r="C73" s="341" t="s">
        <v>443</v>
      </c>
      <c r="D73" s="2659"/>
      <c r="E73" s="2659"/>
      <c r="F73" s="2659"/>
      <c r="G73" s="2659"/>
      <c r="H73" s="2660"/>
      <c r="I73" s="639"/>
    </row>
    <row r="74" spans="2:9" s="396" customFormat="1" x14ac:dyDescent="0.25">
      <c r="B74" s="638"/>
      <c r="C74" s="340" t="s">
        <v>4</v>
      </c>
      <c r="D74" s="1873"/>
      <c r="E74" s="422" t="s">
        <v>5</v>
      </c>
      <c r="F74" s="2657"/>
      <c r="G74" s="2657"/>
      <c r="H74" s="2658"/>
      <c r="I74" s="639"/>
    </row>
    <row r="75" spans="2:9" s="396" customFormat="1" ht="15.75" thickBot="1" x14ac:dyDescent="0.3">
      <c r="B75" s="638"/>
      <c r="C75" s="342"/>
      <c r="D75" s="345"/>
      <c r="E75" s="345"/>
      <c r="F75" s="345"/>
      <c r="G75" s="345"/>
      <c r="H75" s="346"/>
      <c r="I75" s="639"/>
    </row>
    <row r="76" spans="2:9" s="396" customFormat="1" ht="7.5" customHeight="1" thickBot="1" x14ac:dyDescent="0.3">
      <c r="B76" s="638"/>
      <c r="C76" s="422"/>
      <c r="D76" s="422"/>
      <c r="E76" s="422"/>
      <c r="F76" s="422"/>
      <c r="G76" s="422"/>
      <c r="H76" s="422"/>
      <c r="I76" s="639"/>
    </row>
    <row r="77" spans="2:9" s="396" customFormat="1" x14ac:dyDescent="0.25">
      <c r="B77" s="638"/>
      <c r="C77" s="2661" t="s">
        <v>449</v>
      </c>
      <c r="D77" s="2662"/>
      <c r="E77" s="2662"/>
      <c r="F77" s="2662"/>
      <c r="G77" s="2662"/>
      <c r="H77" s="2663"/>
      <c r="I77" s="639"/>
    </row>
    <row r="78" spans="2:9" s="396" customFormat="1" x14ac:dyDescent="0.25">
      <c r="B78" s="638"/>
      <c r="C78" s="340" t="s">
        <v>435</v>
      </c>
      <c r="D78" s="2657"/>
      <c r="E78" s="2657"/>
      <c r="F78" s="2657"/>
      <c r="G78" s="2657"/>
      <c r="H78" s="2658"/>
      <c r="I78" s="639"/>
    </row>
    <row r="79" spans="2:9" s="396" customFormat="1" x14ac:dyDescent="0.25">
      <c r="B79" s="638"/>
      <c r="C79" s="341" t="s">
        <v>443</v>
      </c>
      <c r="D79" s="2659"/>
      <c r="E79" s="2659"/>
      <c r="F79" s="2659"/>
      <c r="G79" s="2659"/>
      <c r="H79" s="2660"/>
      <c r="I79" s="639"/>
    </row>
    <row r="80" spans="2:9" s="396" customFormat="1" x14ac:dyDescent="0.25">
      <c r="B80" s="638"/>
      <c r="C80" s="340" t="s">
        <v>4</v>
      </c>
      <c r="D80" s="1873"/>
      <c r="E80" s="422" t="s">
        <v>5</v>
      </c>
      <c r="F80" s="2657"/>
      <c r="G80" s="2657"/>
      <c r="H80" s="2658"/>
      <c r="I80" s="639"/>
    </row>
    <row r="81" spans="2:9" s="396" customFormat="1" ht="15.75" thickBot="1" x14ac:dyDescent="0.3">
      <c r="B81" s="638"/>
      <c r="C81" s="342"/>
      <c r="D81" s="345"/>
      <c r="E81" s="345"/>
      <c r="F81" s="345"/>
      <c r="G81" s="345"/>
      <c r="H81" s="346"/>
      <c r="I81" s="639"/>
    </row>
    <row r="82" spans="2:9" s="396" customFormat="1" ht="7.5" customHeight="1" thickBot="1" x14ac:dyDescent="0.3">
      <c r="B82" s="638"/>
      <c r="C82" s="422"/>
      <c r="D82" s="422"/>
      <c r="E82" s="422"/>
      <c r="F82" s="422"/>
      <c r="G82" s="422"/>
      <c r="H82" s="422"/>
      <c r="I82" s="639"/>
    </row>
    <row r="83" spans="2:9" s="396" customFormat="1" x14ac:dyDescent="0.25">
      <c r="B83" s="638"/>
      <c r="C83" s="2661" t="s">
        <v>450</v>
      </c>
      <c r="D83" s="2662"/>
      <c r="E83" s="2662"/>
      <c r="F83" s="2662"/>
      <c r="G83" s="2662"/>
      <c r="H83" s="2663"/>
      <c r="I83" s="639"/>
    </row>
    <row r="84" spans="2:9" s="396" customFormat="1" x14ac:dyDescent="0.25">
      <c r="B84" s="638"/>
      <c r="C84" s="340" t="s">
        <v>435</v>
      </c>
      <c r="D84" s="2657"/>
      <c r="E84" s="2657"/>
      <c r="F84" s="2657"/>
      <c r="G84" s="2657"/>
      <c r="H84" s="2658"/>
      <c r="I84" s="639"/>
    </row>
    <row r="85" spans="2:9" s="396" customFormat="1" x14ac:dyDescent="0.25">
      <c r="B85" s="638"/>
      <c r="C85" s="341" t="s">
        <v>443</v>
      </c>
      <c r="D85" s="2659"/>
      <c r="E85" s="2659"/>
      <c r="F85" s="2659"/>
      <c r="G85" s="2659"/>
      <c r="H85" s="2660"/>
      <c r="I85" s="639"/>
    </row>
    <row r="86" spans="2:9" s="396" customFormat="1" x14ac:dyDescent="0.25">
      <c r="B86" s="638"/>
      <c r="C86" s="340" t="s">
        <v>436</v>
      </c>
      <c r="D86" s="2659"/>
      <c r="E86" s="2659"/>
      <c r="F86" s="2659"/>
      <c r="G86" s="2659"/>
      <c r="H86" s="2660"/>
      <c r="I86" s="639"/>
    </row>
    <row r="87" spans="2:9" s="396" customFormat="1" x14ac:dyDescent="0.25">
      <c r="B87" s="638"/>
      <c r="C87" s="340" t="s">
        <v>13</v>
      </c>
      <c r="D87" s="1874"/>
      <c r="E87" s="422" t="s">
        <v>437</v>
      </c>
      <c r="F87" s="1870"/>
      <c r="G87" s="422" t="s">
        <v>438</v>
      </c>
      <c r="H87" s="1875"/>
      <c r="I87" s="639"/>
    </row>
    <row r="88" spans="2:9" s="396" customFormat="1" x14ac:dyDescent="0.25">
      <c r="B88" s="638"/>
      <c r="C88" s="340" t="s">
        <v>4</v>
      </c>
      <c r="D88" s="1873"/>
      <c r="E88" s="422" t="s">
        <v>5</v>
      </c>
      <c r="F88" s="2657"/>
      <c r="G88" s="2657"/>
      <c r="H88" s="2658"/>
      <c r="I88" s="639"/>
    </row>
    <row r="89" spans="2:9" s="396" customFormat="1" ht="15.75" thickBot="1" x14ac:dyDescent="0.3">
      <c r="B89" s="638"/>
      <c r="C89" s="342"/>
      <c r="D89" s="345"/>
      <c r="E89" s="345"/>
      <c r="F89" s="345"/>
      <c r="G89" s="345"/>
      <c r="H89" s="346"/>
      <c r="I89" s="639"/>
    </row>
    <row r="90" spans="2:9" s="396" customFormat="1" ht="9" customHeight="1" thickBot="1" x14ac:dyDescent="0.3">
      <c r="B90" s="619"/>
      <c r="C90" s="347"/>
      <c r="D90" s="347"/>
      <c r="E90" s="347"/>
      <c r="F90" s="347"/>
      <c r="G90" s="347"/>
      <c r="H90" s="347"/>
      <c r="I90" s="620"/>
    </row>
  </sheetData>
  <sheetProtection algorithmName="SHA-512" hashValue="gsnrnNelpsjecU05sv/UIZ26U5z1GgvQ3RSvPjvAMF+gittW1up/boH/zfTtxlAmC/Npr51YjbOMA4TxOmh/Vg==" saltValue="evrNMehtbkT3ztSJqsJ4lw==" spinCount="100000" sheet="1" formatCells="0" formatColumns="0" formatRows="0"/>
  <mergeCells count="59">
    <mergeCell ref="C5:G5"/>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F40:H40"/>
    <mergeCell ref="D25:H25"/>
    <mergeCell ref="C31:H31"/>
    <mergeCell ref="D66:H66"/>
    <mergeCell ref="C37:H37"/>
    <mergeCell ref="D38:H38"/>
    <mergeCell ref="D39:H39"/>
    <mergeCell ref="D65:H65"/>
    <mergeCell ref="D52:H52"/>
    <mergeCell ref="D64:H64"/>
    <mergeCell ref="C50:H50"/>
    <mergeCell ref="D44:H44"/>
    <mergeCell ref="D45:H45"/>
    <mergeCell ref="F46:H46"/>
    <mergeCell ref="C63:H63"/>
    <mergeCell ref="C43:H43"/>
    <mergeCell ref="D73:H73"/>
    <mergeCell ref="C3:H3"/>
    <mergeCell ref="D86:H86"/>
    <mergeCell ref="F88:H88"/>
    <mergeCell ref="C77:H77"/>
    <mergeCell ref="D78:H78"/>
    <mergeCell ref="D79:H79"/>
    <mergeCell ref="F80:H80"/>
    <mergeCell ref="C83:H83"/>
    <mergeCell ref="D84:H84"/>
    <mergeCell ref="F68:H68"/>
    <mergeCell ref="C71:H71"/>
    <mergeCell ref="D72:H72"/>
    <mergeCell ref="D12:H12"/>
    <mergeCell ref="D85:H85"/>
    <mergeCell ref="F74:H74"/>
    <mergeCell ref="D61:H61"/>
    <mergeCell ref="C54:H54"/>
    <mergeCell ref="D55:H55"/>
    <mergeCell ref="D56:H56"/>
    <mergeCell ref="D60:H60"/>
    <mergeCell ref="D58:H58"/>
    <mergeCell ref="F59:H59"/>
  </mergeCells>
  <pageMargins left="0.7" right="0.7" top="0.75" bottom="0.75" header="0.3" footer="0.3"/>
  <pageSetup scale="93" fitToHeight="2" orientation="portrait" r:id="rId1"/>
  <headerFooter>
    <oddFooter>&amp;LForm 9A
Project Team&amp;CCFA Forms</oddFooter>
  </headerFooter>
  <rowBreaks count="1" manualBreakCount="1">
    <brk id="48" min="1"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6:Z43"/>
  <sheetViews>
    <sheetView showGridLines="0" zoomScaleNormal="100" workbookViewId="0">
      <selection activeCell="N42" sqref="N42"/>
    </sheetView>
  </sheetViews>
  <sheetFormatPr defaultColWidth="9.140625" defaultRowHeight="15" x14ac:dyDescent="0.25"/>
  <cols>
    <col min="1" max="1" width="1.7109375" style="399" customWidth="1"/>
    <col min="2" max="2" width="1.7109375" style="396" customWidth="1"/>
    <col min="3" max="3" width="14.28515625" style="399" customWidth="1"/>
    <col min="4" max="4" width="30" style="399" customWidth="1"/>
    <col min="5" max="24" width="3.5703125" style="399" customWidth="1"/>
    <col min="25" max="25" width="1.7109375" style="396" customWidth="1"/>
    <col min="26" max="26" width="1.42578125" style="399" customWidth="1"/>
    <col min="27" max="16384" width="9.140625" style="399"/>
  </cols>
  <sheetData>
    <row r="6" spans="2:26" ht="15.75" thickBot="1" x14ac:dyDescent="0.3"/>
    <row r="7" spans="2:26" s="396" customFormat="1" ht="9" customHeight="1" x14ac:dyDescent="0.3">
      <c r="B7" s="207"/>
      <c r="C7" s="2675"/>
      <c r="D7" s="2675"/>
      <c r="E7" s="2676"/>
      <c r="F7" s="2676"/>
      <c r="G7" s="2676"/>
      <c r="H7" s="2676"/>
      <c r="I7" s="2676"/>
      <c r="J7" s="2676"/>
      <c r="K7" s="2676"/>
      <c r="L7" s="2676"/>
      <c r="M7" s="2676"/>
      <c r="N7" s="2676"/>
      <c r="O7" s="2676"/>
      <c r="P7" s="2676"/>
      <c r="Q7" s="2676"/>
      <c r="R7" s="2676"/>
      <c r="S7" s="2676"/>
      <c r="T7" s="2676"/>
      <c r="U7" s="2676"/>
      <c r="V7" s="2676"/>
      <c r="W7" s="2676"/>
      <c r="X7" s="2676"/>
      <c r="Y7" s="2676"/>
      <c r="Z7" s="1619"/>
    </row>
    <row r="8" spans="2:26" s="396" customFormat="1" ht="18.75" x14ac:dyDescent="0.3">
      <c r="B8" s="215"/>
      <c r="C8" s="1872" t="s">
        <v>451</v>
      </c>
      <c r="D8" s="711"/>
      <c r="E8" s="712"/>
      <c r="F8" s="712"/>
      <c r="G8" s="712"/>
      <c r="H8" s="712"/>
      <c r="I8" s="712"/>
      <c r="J8" s="712"/>
      <c r="K8" s="712"/>
      <c r="L8" s="712"/>
      <c r="M8" s="712"/>
      <c r="N8" s="712"/>
      <c r="O8" s="712"/>
      <c r="P8" s="712"/>
      <c r="Q8" s="712"/>
      <c r="R8" s="712"/>
      <c r="S8" s="712"/>
      <c r="T8" s="712"/>
      <c r="U8" s="712"/>
      <c r="V8" s="712"/>
      <c r="W8" s="712"/>
      <c r="X8" s="712"/>
      <c r="Y8" s="645"/>
      <c r="Z8" s="1555"/>
    </row>
    <row r="9" spans="2:26" s="396" customFormat="1" ht="18.75" x14ac:dyDescent="0.3">
      <c r="B9" s="215"/>
      <c r="C9" s="644"/>
      <c r="D9" s="644"/>
      <c r="E9" s="645"/>
      <c r="F9" s="645"/>
      <c r="G9" s="645"/>
      <c r="H9" s="645"/>
      <c r="I9" s="645"/>
      <c r="J9" s="645"/>
      <c r="K9" s="645"/>
      <c r="L9" s="645"/>
      <c r="M9" s="645"/>
      <c r="N9" s="645"/>
      <c r="O9" s="645"/>
      <c r="P9" s="645"/>
      <c r="Q9" s="645"/>
      <c r="R9" s="645"/>
      <c r="S9" s="645"/>
      <c r="T9" s="645"/>
      <c r="U9" s="645"/>
      <c r="V9" s="645"/>
      <c r="W9" s="645"/>
      <c r="X9" s="645"/>
      <c r="Y9" s="645"/>
      <c r="Z9" s="1555"/>
    </row>
    <row r="10" spans="2:26" s="396" customFormat="1" ht="15.75" thickBot="1" x14ac:dyDescent="0.3">
      <c r="B10" s="215"/>
      <c r="C10" s="2410" t="str">
        <f>IF('1'!G5="","Enter Project Name on Form 1",(CONCATENATE("Project Name: ",'1'!G5)))</f>
        <v>Enter Project Name on Form 1</v>
      </c>
      <c r="D10" s="2410"/>
      <c r="E10" s="2410"/>
      <c r="F10" s="2410"/>
      <c r="G10" s="2410"/>
      <c r="H10" s="2410"/>
      <c r="I10" s="2410"/>
      <c r="J10" s="2410"/>
      <c r="K10" s="2410"/>
      <c r="L10" s="2410"/>
      <c r="M10" s="2410"/>
      <c r="N10" s="2410"/>
      <c r="O10" s="2410"/>
      <c r="P10" s="2410"/>
      <c r="Q10" s="2410"/>
      <c r="R10" s="2410"/>
      <c r="S10" s="2410"/>
      <c r="T10" s="1877"/>
      <c r="U10" s="422"/>
      <c r="V10" s="422"/>
      <c r="W10" s="422"/>
      <c r="X10" s="422"/>
      <c r="Y10" s="422"/>
      <c r="Z10" s="1555"/>
    </row>
    <row r="11" spans="2:26" s="396" customFormat="1" ht="7.5" customHeight="1" x14ac:dyDescent="0.25">
      <c r="B11" s="215"/>
      <c r="C11" s="492"/>
      <c r="D11" s="492"/>
      <c r="E11" s="492"/>
      <c r="F11" s="492"/>
      <c r="G11" s="492"/>
      <c r="H11" s="492"/>
      <c r="I11" s="492"/>
      <c r="J11" s="492"/>
      <c r="K11" s="492"/>
      <c r="L11" s="492"/>
      <c r="M11" s="492"/>
      <c r="N11" s="492"/>
      <c r="O11" s="492"/>
      <c r="P11" s="422"/>
      <c r="Q11" s="422"/>
      <c r="R11" s="422"/>
      <c r="S11" s="422"/>
      <c r="T11" s="422"/>
      <c r="U11" s="422"/>
      <c r="V11" s="422"/>
      <c r="W11" s="422"/>
      <c r="X11" s="422"/>
      <c r="Y11" s="422"/>
      <c r="Z11" s="1555"/>
    </row>
    <row r="12" spans="2:26" ht="117.75" customHeight="1" x14ac:dyDescent="0.25">
      <c r="B12" s="215"/>
      <c r="C12" s="2683"/>
      <c r="D12" s="2684"/>
      <c r="E12" s="700" t="s">
        <v>452</v>
      </c>
      <c r="F12" s="2677" t="s">
        <v>453</v>
      </c>
      <c r="G12" s="2677" t="s">
        <v>454</v>
      </c>
      <c r="H12" s="2677" t="s">
        <v>455</v>
      </c>
      <c r="I12" s="2677" t="s">
        <v>456</v>
      </c>
      <c r="J12" s="2680" t="s">
        <v>457</v>
      </c>
      <c r="K12" s="2677" t="s">
        <v>458</v>
      </c>
      <c r="L12" s="2677" t="s">
        <v>459</v>
      </c>
      <c r="M12" s="2677" t="s">
        <v>460</v>
      </c>
      <c r="N12" s="2677" t="s">
        <v>461</v>
      </c>
      <c r="O12" s="2677" t="s">
        <v>462</v>
      </c>
      <c r="P12" s="2677" t="s">
        <v>463</v>
      </c>
      <c r="Q12" s="2677" t="s">
        <v>464</v>
      </c>
      <c r="R12" s="2677" t="s">
        <v>465</v>
      </c>
      <c r="S12" s="2677" t="s">
        <v>466</v>
      </c>
      <c r="T12" s="2677" t="s">
        <v>467</v>
      </c>
      <c r="U12" s="2677" t="s">
        <v>468</v>
      </c>
      <c r="V12" s="2677" t="s">
        <v>469</v>
      </c>
      <c r="W12" s="2677" t="s">
        <v>470</v>
      </c>
      <c r="X12" s="1620"/>
      <c r="Y12" s="1221"/>
      <c r="Z12" s="1601"/>
    </row>
    <row r="13" spans="2:26" x14ac:dyDescent="0.25">
      <c r="B13" s="215"/>
      <c r="C13" s="704" t="s">
        <v>471</v>
      </c>
      <c r="D13" s="705"/>
      <c r="E13" s="701"/>
      <c r="F13" s="2678"/>
      <c r="G13" s="2679"/>
      <c r="H13" s="2679"/>
      <c r="I13" s="2679"/>
      <c r="J13" s="2681"/>
      <c r="K13" s="2679"/>
      <c r="L13" s="2679"/>
      <c r="M13" s="2679"/>
      <c r="N13" s="2679"/>
      <c r="O13" s="2679"/>
      <c r="P13" s="2679"/>
      <c r="Q13" s="2679"/>
      <c r="R13" s="2679"/>
      <c r="S13" s="2679"/>
      <c r="T13" s="2679"/>
      <c r="U13" s="2679"/>
      <c r="V13" s="2679"/>
      <c r="W13" s="2679"/>
      <c r="X13" s="1621"/>
      <c r="Y13" s="1222"/>
      <c r="Z13" s="1601"/>
    </row>
    <row r="14" spans="2:26" x14ac:dyDescent="0.25">
      <c r="B14" s="215"/>
      <c r="C14" s="706" t="s">
        <v>454</v>
      </c>
      <c r="D14" s="707"/>
      <c r="E14" s="701"/>
      <c r="F14" s="701"/>
      <c r="G14" s="2678"/>
      <c r="H14" s="2679"/>
      <c r="I14" s="2679"/>
      <c r="J14" s="2681"/>
      <c r="K14" s="2679"/>
      <c r="L14" s="2679"/>
      <c r="M14" s="2679"/>
      <c r="N14" s="2679"/>
      <c r="O14" s="2679"/>
      <c r="P14" s="2679"/>
      <c r="Q14" s="2679"/>
      <c r="R14" s="2679"/>
      <c r="S14" s="2679"/>
      <c r="T14" s="2679"/>
      <c r="U14" s="2679"/>
      <c r="V14" s="2679"/>
      <c r="W14" s="2679"/>
      <c r="X14" s="1621"/>
      <c r="Y14" s="1222"/>
      <c r="Z14" s="1601"/>
    </row>
    <row r="15" spans="2:26" x14ac:dyDescent="0.25">
      <c r="B15" s="215"/>
      <c r="C15" s="706" t="s">
        <v>455</v>
      </c>
      <c r="D15" s="707"/>
      <c r="E15" s="701"/>
      <c r="F15" s="701"/>
      <c r="G15" s="701"/>
      <c r="H15" s="2678"/>
      <c r="I15" s="2679"/>
      <c r="J15" s="2681"/>
      <c r="K15" s="2679"/>
      <c r="L15" s="2679"/>
      <c r="M15" s="2679"/>
      <c r="N15" s="2679"/>
      <c r="O15" s="2679"/>
      <c r="P15" s="2679"/>
      <c r="Q15" s="2679"/>
      <c r="R15" s="2679"/>
      <c r="S15" s="2679"/>
      <c r="T15" s="2679"/>
      <c r="U15" s="2679"/>
      <c r="V15" s="2679"/>
      <c r="W15" s="2679"/>
      <c r="X15" s="1621"/>
      <c r="Y15" s="1222"/>
      <c r="Z15" s="1601"/>
    </row>
    <row r="16" spans="2:26" x14ac:dyDescent="0.25">
      <c r="B16" s="215"/>
      <c r="C16" s="706" t="s">
        <v>456</v>
      </c>
      <c r="D16" s="707"/>
      <c r="E16" s="701"/>
      <c r="F16" s="701"/>
      <c r="G16" s="701"/>
      <c r="H16" s="701"/>
      <c r="I16" s="2678"/>
      <c r="J16" s="2681"/>
      <c r="K16" s="2679"/>
      <c r="L16" s="2679"/>
      <c r="M16" s="2679"/>
      <c r="N16" s="2679"/>
      <c r="O16" s="2679"/>
      <c r="P16" s="2679"/>
      <c r="Q16" s="2679"/>
      <c r="R16" s="2679"/>
      <c r="S16" s="2679"/>
      <c r="T16" s="2679"/>
      <c r="U16" s="2679"/>
      <c r="V16" s="2679"/>
      <c r="W16" s="2679"/>
      <c r="X16" s="1621"/>
      <c r="Y16" s="1222"/>
      <c r="Z16" s="1601"/>
    </row>
    <row r="17" spans="2:26" x14ac:dyDescent="0.25">
      <c r="B17" s="215"/>
      <c r="C17" s="706" t="s">
        <v>472</v>
      </c>
      <c r="D17" s="707"/>
      <c r="E17" s="701"/>
      <c r="F17" s="701"/>
      <c r="G17" s="701"/>
      <c r="H17" s="701"/>
      <c r="I17" s="701"/>
      <c r="J17" s="2682"/>
      <c r="K17" s="2679"/>
      <c r="L17" s="2679"/>
      <c r="M17" s="2679"/>
      <c r="N17" s="2679"/>
      <c r="O17" s="2679"/>
      <c r="P17" s="2679"/>
      <c r="Q17" s="2679"/>
      <c r="R17" s="2679"/>
      <c r="S17" s="2679"/>
      <c r="T17" s="2679"/>
      <c r="U17" s="2679"/>
      <c r="V17" s="2679"/>
      <c r="W17" s="2679"/>
      <c r="X17" s="1621"/>
      <c r="Y17" s="1222"/>
      <c r="Z17" s="1601"/>
    </row>
    <row r="18" spans="2:26" x14ac:dyDescent="0.25">
      <c r="B18" s="215"/>
      <c r="C18" s="706" t="s">
        <v>473</v>
      </c>
      <c r="D18" s="707"/>
      <c r="E18" s="701"/>
      <c r="F18" s="701"/>
      <c r="G18" s="701"/>
      <c r="H18" s="701"/>
      <c r="I18" s="701"/>
      <c r="J18" s="701"/>
      <c r="K18" s="2678"/>
      <c r="L18" s="2679"/>
      <c r="M18" s="2679"/>
      <c r="N18" s="2679"/>
      <c r="O18" s="2679"/>
      <c r="P18" s="2679"/>
      <c r="Q18" s="2679"/>
      <c r="R18" s="2679"/>
      <c r="S18" s="2679"/>
      <c r="T18" s="2679"/>
      <c r="U18" s="2679"/>
      <c r="V18" s="2679"/>
      <c r="W18" s="2679"/>
      <c r="X18" s="1621"/>
      <c r="Y18" s="1222"/>
      <c r="Z18" s="1601"/>
    </row>
    <row r="19" spans="2:26" x14ac:dyDescent="0.25">
      <c r="B19" s="215"/>
      <c r="C19" s="706" t="s">
        <v>474</v>
      </c>
      <c r="D19" s="707"/>
      <c r="E19" s="701"/>
      <c r="F19" s="701"/>
      <c r="G19" s="701"/>
      <c r="H19" s="701"/>
      <c r="I19" s="701"/>
      <c r="J19" s="701"/>
      <c r="K19" s="701"/>
      <c r="L19" s="2678"/>
      <c r="M19" s="2679"/>
      <c r="N19" s="2679"/>
      <c r="O19" s="2679"/>
      <c r="P19" s="2679"/>
      <c r="Q19" s="2679"/>
      <c r="R19" s="2679"/>
      <c r="S19" s="2679"/>
      <c r="T19" s="2679"/>
      <c r="U19" s="2679"/>
      <c r="V19" s="2679"/>
      <c r="W19" s="2679"/>
      <c r="X19" s="1621"/>
      <c r="Y19" s="1222"/>
      <c r="Z19" s="1601"/>
    </row>
    <row r="20" spans="2:26" x14ac:dyDescent="0.25">
      <c r="B20" s="215"/>
      <c r="C20" s="706" t="s">
        <v>475</v>
      </c>
      <c r="D20" s="707"/>
      <c r="E20" s="701"/>
      <c r="F20" s="701"/>
      <c r="G20" s="701"/>
      <c r="H20" s="701"/>
      <c r="I20" s="701"/>
      <c r="J20" s="701"/>
      <c r="K20" s="701"/>
      <c r="L20" s="701"/>
      <c r="M20" s="2678"/>
      <c r="N20" s="2679"/>
      <c r="O20" s="2679"/>
      <c r="P20" s="2679"/>
      <c r="Q20" s="2679"/>
      <c r="R20" s="2679"/>
      <c r="S20" s="2679"/>
      <c r="T20" s="2679"/>
      <c r="U20" s="2679"/>
      <c r="V20" s="2679"/>
      <c r="W20" s="2679"/>
      <c r="X20" s="1621"/>
      <c r="Y20" s="1222"/>
      <c r="Z20" s="1601"/>
    </row>
    <row r="21" spans="2:26" x14ac:dyDescent="0.25">
      <c r="B21" s="215"/>
      <c r="C21" s="706" t="s">
        <v>476</v>
      </c>
      <c r="D21" s="707"/>
      <c r="E21" s="701"/>
      <c r="F21" s="701"/>
      <c r="G21" s="701"/>
      <c r="H21" s="701"/>
      <c r="I21" s="701"/>
      <c r="J21" s="701"/>
      <c r="K21" s="701"/>
      <c r="L21" s="701"/>
      <c r="M21" s="701"/>
      <c r="N21" s="2679"/>
      <c r="O21" s="2679"/>
      <c r="P21" s="2679"/>
      <c r="Q21" s="2679"/>
      <c r="R21" s="2679"/>
      <c r="S21" s="2679"/>
      <c r="T21" s="2679"/>
      <c r="U21" s="2679"/>
      <c r="V21" s="2679"/>
      <c r="W21" s="2679"/>
      <c r="X21" s="1621"/>
      <c r="Y21" s="1222"/>
      <c r="Z21" s="1601"/>
    </row>
    <row r="22" spans="2:26" x14ac:dyDescent="0.25">
      <c r="B22" s="215"/>
      <c r="C22" s="706" t="s">
        <v>462</v>
      </c>
      <c r="D22" s="707"/>
      <c r="E22" s="701"/>
      <c r="F22" s="701"/>
      <c r="G22" s="701"/>
      <c r="H22" s="701"/>
      <c r="I22" s="701"/>
      <c r="J22" s="701"/>
      <c r="K22" s="701"/>
      <c r="L22" s="701"/>
      <c r="M22" s="701"/>
      <c r="N22" s="701"/>
      <c r="O22" s="2679"/>
      <c r="P22" s="2679"/>
      <c r="Q22" s="2679"/>
      <c r="R22" s="2679"/>
      <c r="S22" s="2679"/>
      <c r="T22" s="2679"/>
      <c r="U22" s="2679"/>
      <c r="V22" s="2679"/>
      <c r="W22" s="2679"/>
      <c r="X22" s="1621"/>
      <c r="Y22" s="1222"/>
      <c r="Z22" s="1601"/>
    </row>
    <row r="23" spans="2:26" x14ac:dyDescent="0.25">
      <c r="B23" s="215"/>
      <c r="C23" s="706" t="s">
        <v>463</v>
      </c>
      <c r="D23" s="707"/>
      <c r="E23" s="701"/>
      <c r="F23" s="701"/>
      <c r="G23" s="701"/>
      <c r="H23" s="701"/>
      <c r="I23" s="701"/>
      <c r="J23" s="701"/>
      <c r="K23" s="701"/>
      <c r="L23" s="701"/>
      <c r="M23" s="701"/>
      <c r="N23" s="701"/>
      <c r="O23" s="701"/>
      <c r="P23" s="2679"/>
      <c r="Q23" s="2679"/>
      <c r="R23" s="2679"/>
      <c r="S23" s="2679"/>
      <c r="T23" s="2679"/>
      <c r="U23" s="2679"/>
      <c r="V23" s="2679"/>
      <c r="W23" s="2679"/>
      <c r="X23" s="1621"/>
      <c r="Y23" s="1222"/>
      <c r="Z23" s="1601"/>
    </row>
    <row r="24" spans="2:26" x14ac:dyDescent="0.25">
      <c r="B24" s="215"/>
      <c r="C24" s="706" t="s">
        <v>477</v>
      </c>
      <c r="D24" s="707"/>
      <c r="E24" s="701"/>
      <c r="F24" s="701"/>
      <c r="G24" s="701"/>
      <c r="H24" s="701"/>
      <c r="I24" s="701"/>
      <c r="J24" s="701"/>
      <c r="K24" s="701"/>
      <c r="L24" s="701"/>
      <c r="M24" s="701"/>
      <c r="N24" s="701"/>
      <c r="O24" s="701"/>
      <c r="P24" s="701"/>
      <c r="Q24" s="2679"/>
      <c r="R24" s="2679"/>
      <c r="S24" s="2679"/>
      <c r="T24" s="2679"/>
      <c r="U24" s="2679"/>
      <c r="V24" s="2679"/>
      <c r="W24" s="2679"/>
      <c r="X24" s="1621"/>
      <c r="Y24" s="1222"/>
      <c r="Z24" s="1601"/>
    </row>
    <row r="25" spans="2:26" x14ac:dyDescent="0.25">
      <c r="B25" s="215"/>
      <c r="C25" s="706" t="s">
        <v>465</v>
      </c>
      <c r="D25" s="707"/>
      <c r="E25" s="701"/>
      <c r="F25" s="701"/>
      <c r="G25" s="701"/>
      <c r="H25" s="701"/>
      <c r="I25" s="701"/>
      <c r="J25" s="701"/>
      <c r="K25" s="701"/>
      <c r="L25" s="701"/>
      <c r="M25" s="701"/>
      <c r="N25" s="701"/>
      <c r="O25" s="701"/>
      <c r="P25" s="701"/>
      <c r="Q25" s="701"/>
      <c r="R25" s="2679"/>
      <c r="S25" s="2679"/>
      <c r="T25" s="2679"/>
      <c r="U25" s="2679"/>
      <c r="V25" s="2679"/>
      <c r="W25" s="2679"/>
      <c r="X25" s="1621"/>
      <c r="Y25" s="1222"/>
      <c r="Z25" s="1601"/>
    </row>
    <row r="26" spans="2:26" x14ac:dyDescent="0.25">
      <c r="B26" s="215"/>
      <c r="C26" s="706" t="s">
        <v>466</v>
      </c>
      <c r="D26" s="707"/>
      <c r="E26" s="701"/>
      <c r="F26" s="701"/>
      <c r="G26" s="701"/>
      <c r="H26" s="701"/>
      <c r="I26" s="701"/>
      <c r="J26" s="701"/>
      <c r="K26" s="701"/>
      <c r="L26" s="701"/>
      <c r="M26" s="701"/>
      <c r="N26" s="701"/>
      <c r="O26" s="701"/>
      <c r="P26" s="701"/>
      <c r="Q26" s="701"/>
      <c r="R26" s="701"/>
      <c r="S26" s="2679"/>
      <c r="T26" s="2679"/>
      <c r="U26" s="2679"/>
      <c r="V26" s="2679"/>
      <c r="W26" s="2679"/>
      <c r="X26" s="1621"/>
      <c r="Y26" s="1222"/>
      <c r="Z26" s="1601"/>
    </row>
    <row r="27" spans="2:26" x14ac:dyDescent="0.25">
      <c r="B27" s="215"/>
      <c r="C27" s="706" t="s">
        <v>467</v>
      </c>
      <c r="D27" s="707"/>
      <c r="E27" s="701"/>
      <c r="F27" s="701"/>
      <c r="G27" s="701"/>
      <c r="H27" s="701"/>
      <c r="I27" s="701"/>
      <c r="J27" s="701"/>
      <c r="K27" s="701"/>
      <c r="L27" s="701"/>
      <c r="M27" s="701"/>
      <c r="N27" s="701"/>
      <c r="O27" s="701"/>
      <c r="P27" s="701"/>
      <c r="Q27" s="701"/>
      <c r="R27" s="701"/>
      <c r="S27" s="701"/>
      <c r="T27" s="2679"/>
      <c r="U27" s="2679"/>
      <c r="V27" s="2679"/>
      <c r="W27" s="2679"/>
      <c r="X27" s="1621"/>
      <c r="Y27" s="1222"/>
      <c r="Z27" s="1601"/>
    </row>
    <row r="28" spans="2:26" x14ac:dyDescent="0.25">
      <c r="B28" s="215"/>
      <c r="C28" s="706" t="s">
        <v>478</v>
      </c>
      <c r="D28" s="707"/>
      <c r="E28" s="701"/>
      <c r="F28" s="701"/>
      <c r="G28" s="701"/>
      <c r="H28" s="701"/>
      <c r="I28" s="701"/>
      <c r="J28" s="701"/>
      <c r="K28" s="701"/>
      <c r="L28" s="701"/>
      <c r="M28" s="701"/>
      <c r="N28" s="701"/>
      <c r="O28" s="701"/>
      <c r="P28" s="701"/>
      <c r="Q28" s="701"/>
      <c r="R28" s="701"/>
      <c r="S28" s="701"/>
      <c r="T28" s="701"/>
      <c r="U28" s="2679"/>
      <c r="V28" s="2679"/>
      <c r="W28" s="2679"/>
      <c r="X28" s="1621"/>
      <c r="Y28" s="1222"/>
      <c r="Z28" s="1601"/>
    </row>
    <row r="29" spans="2:26" x14ac:dyDescent="0.25">
      <c r="B29" s="215"/>
      <c r="C29" s="706" t="s">
        <v>469</v>
      </c>
      <c r="D29" s="707"/>
      <c r="E29" s="701"/>
      <c r="F29" s="701"/>
      <c r="G29" s="701"/>
      <c r="H29" s="701"/>
      <c r="I29" s="701"/>
      <c r="J29" s="701"/>
      <c r="K29" s="701"/>
      <c r="L29" s="701"/>
      <c r="M29" s="701"/>
      <c r="N29" s="701"/>
      <c r="O29" s="701"/>
      <c r="P29" s="701"/>
      <c r="Q29" s="701"/>
      <c r="R29" s="701"/>
      <c r="S29" s="701"/>
      <c r="T29" s="701"/>
      <c r="U29" s="701"/>
      <c r="V29" s="2679"/>
      <c r="W29" s="2679"/>
      <c r="X29" s="1621"/>
      <c r="Y29" s="1222"/>
      <c r="Z29" s="1601"/>
    </row>
    <row r="30" spans="2:26" x14ac:dyDescent="0.25">
      <c r="B30" s="215"/>
      <c r="C30" s="708" t="s">
        <v>470</v>
      </c>
      <c r="D30" s="709"/>
      <c r="E30" s="701"/>
      <c r="F30" s="701"/>
      <c r="G30" s="701"/>
      <c r="H30" s="701"/>
      <c r="I30" s="701"/>
      <c r="J30" s="701"/>
      <c r="K30" s="701"/>
      <c r="L30" s="701"/>
      <c r="M30" s="701"/>
      <c r="N30" s="701"/>
      <c r="O30" s="701"/>
      <c r="P30" s="701"/>
      <c r="Q30" s="701"/>
      <c r="R30" s="701"/>
      <c r="S30" s="701"/>
      <c r="T30" s="701"/>
      <c r="U30" s="701"/>
      <c r="V30" s="701"/>
      <c r="W30" s="2679"/>
      <c r="X30" s="524"/>
      <c r="Y30" s="1222"/>
      <c r="Z30" s="1601"/>
    </row>
    <row r="31" spans="2:26" x14ac:dyDescent="0.25">
      <c r="B31" s="215"/>
      <c r="C31" s="1618" t="s">
        <v>428</v>
      </c>
      <c r="D31" s="710"/>
      <c r="E31" s="702"/>
      <c r="F31" s="703"/>
      <c r="G31" s="703"/>
      <c r="H31" s="703"/>
      <c r="I31" s="703"/>
      <c r="J31" s="703"/>
      <c r="K31" s="703"/>
      <c r="L31" s="703"/>
      <c r="M31" s="703"/>
      <c r="N31" s="703"/>
      <c r="O31" s="703"/>
      <c r="P31" s="703"/>
      <c r="Q31" s="703"/>
      <c r="R31" s="703"/>
      <c r="S31" s="703"/>
      <c r="T31" s="703"/>
      <c r="U31" s="703"/>
      <c r="V31" s="703"/>
      <c r="W31" s="703"/>
      <c r="X31" s="1871" t="s">
        <v>234</v>
      </c>
      <c r="Y31" s="1222"/>
      <c r="Z31" s="1601"/>
    </row>
    <row r="32" spans="2:26" x14ac:dyDescent="0.25">
      <c r="B32" s="215"/>
      <c r="C32" s="646" t="s">
        <v>428</v>
      </c>
      <c r="D32" s="710"/>
      <c r="E32" s="300"/>
      <c r="F32" s="301"/>
      <c r="G32" s="301"/>
      <c r="H32" s="301"/>
      <c r="I32" s="301"/>
      <c r="J32" s="301"/>
      <c r="K32" s="301"/>
      <c r="L32" s="301"/>
      <c r="M32" s="301"/>
      <c r="N32" s="301"/>
      <c r="O32" s="301"/>
      <c r="P32" s="301"/>
      <c r="Q32" s="301"/>
      <c r="R32" s="301"/>
      <c r="S32" s="301"/>
      <c r="T32" s="301"/>
      <c r="U32" s="301"/>
      <c r="V32" s="301"/>
      <c r="W32" s="301"/>
      <c r="X32" s="1224"/>
      <c r="Y32" s="1223"/>
      <c r="Z32" s="1601"/>
    </row>
    <row r="33" spans="2:26" ht="7.5" customHeight="1" x14ac:dyDescent="0.25">
      <c r="B33" s="215"/>
      <c r="C33" s="1220"/>
      <c r="D33" s="383"/>
      <c r="E33" s="1622"/>
      <c r="F33" s="1622"/>
      <c r="G33" s="1622"/>
      <c r="H33" s="1622"/>
      <c r="I33" s="1622"/>
      <c r="J33" s="1622"/>
      <c r="K33" s="1622"/>
      <c r="L33" s="1622"/>
      <c r="M33" s="1622"/>
      <c r="N33" s="1622"/>
      <c r="O33" s="1622"/>
      <c r="P33" s="1622"/>
      <c r="Q33" s="1622"/>
      <c r="R33" s="1622"/>
      <c r="S33" s="1622"/>
      <c r="T33" s="1622"/>
      <c r="U33" s="1622"/>
      <c r="V33" s="1622"/>
      <c r="W33" s="1622"/>
      <c r="X33" s="1623"/>
      <c r="Y33" s="422"/>
      <c r="Z33" s="1601"/>
    </row>
    <row r="34" spans="2:26" x14ac:dyDescent="0.25">
      <c r="B34" s="215"/>
      <c r="C34" s="1220"/>
      <c r="D34" s="383"/>
      <c r="E34" s="1622"/>
      <c r="F34" s="1622"/>
      <c r="G34" s="1622"/>
      <c r="H34" s="1622"/>
      <c r="I34" s="1622"/>
      <c r="J34" s="1622"/>
      <c r="K34" s="1622"/>
      <c r="L34" s="1622"/>
      <c r="M34" s="2685"/>
      <c r="N34" s="2686"/>
      <c r="O34" s="2686"/>
      <c r="P34" s="2686"/>
      <c r="Q34" s="2686"/>
      <c r="R34" s="2686"/>
      <c r="S34" s="2686"/>
      <c r="T34" s="2686"/>
      <c r="U34" s="2686"/>
      <c r="V34" s="2687"/>
      <c r="W34" s="524"/>
      <c r="X34" s="524"/>
      <c r="Y34" s="422"/>
      <c r="Z34" s="1601"/>
    </row>
    <row r="35" spans="2:26" ht="7.5" customHeight="1" x14ac:dyDescent="0.25">
      <c r="B35" s="215"/>
      <c r="C35" s="1220"/>
      <c r="D35" s="383"/>
      <c r="E35" s="1622"/>
      <c r="F35" s="1622"/>
      <c r="G35" s="1622"/>
      <c r="H35" s="1622"/>
      <c r="I35" s="1622"/>
      <c r="J35" s="1622"/>
      <c r="K35" s="1622"/>
      <c r="L35" s="1622"/>
      <c r="M35" s="1622"/>
      <c r="N35" s="1622"/>
      <c r="O35" s="524"/>
      <c r="P35" s="524"/>
      <c r="Q35" s="524"/>
      <c r="R35" s="524"/>
      <c r="S35" s="524"/>
      <c r="T35" s="524"/>
      <c r="U35" s="524"/>
      <c r="V35" s="524"/>
      <c r="W35" s="524"/>
      <c r="X35" s="524"/>
      <c r="Y35" s="422"/>
      <c r="Z35" s="1601"/>
    </row>
    <row r="36" spans="2:26" s="396" customFormat="1" x14ac:dyDescent="0.25">
      <c r="B36" s="215"/>
      <c r="C36" s="370" t="s">
        <v>479</v>
      </c>
      <c r="D36" s="370"/>
      <c r="E36" s="370"/>
      <c r="F36" s="370"/>
      <c r="G36" s="370"/>
      <c r="H36" s="370"/>
      <c r="I36" s="370"/>
      <c r="J36" s="370"/>
      <c r="K36" s="370"/>
      <c r="L36" s="370"/>
      <c r="M36" s="370"/>
      <c r="N36" s="370"/>
      <c r="O36" s="370"/>
      <c r="P36" s="370"/>
      <c r="Q36" s="370"/>
      <c r="R36" s="370"/>
      <c r="S36" s="370"/>
      <c r="T36" s="370"/>
      <c r="U36" s="370"/>
      <c r="V36" s="370"/>
      <c r="W36" s="370"/>
      <c r="X36" s="370"/>
      <c r="Y36" s="422"/>
      <c r="Z36" s="1555"/>
    </row>
    <row r="37" spans="2:26" s="396" customFormat="1" ht="45" customHeight="1" x14ac:dyDescent="0.25">
      <c r="B37" s="215"/>
      <c r="C37" s="2302"/>
      <c r="D37" s="2303"/>
      <c r="E37" s="2303"/>
      <c r="F37" s="2303"/>
      <c r="G37" s="2303"/>
      <c r="H37" s="2303"/>
      <c r="I37" s="2303"/>
      <c r="J37" s="2303"/>
      <c r="K37" s="2303"/>
      <c r="L37" s="2303"/>
      <c r="M37" s="2303"/>
      <c r="N37" s="2303"/>
      <c r="O37" s="2303"/>
      <c r="P37" s="2303"/>
      <c r="Q37" s="2303"/>
      <c r="R37" s="2303"/>
      <c r="S37" s="2303"/>
      <c r="T37" s="2303"/>
      <c r="U37" s="2303"/>
      <c r="V37" s="2303"/>
      <c r="W37" s="2303"/>
      <c r="X37" s="2304"/>
      <c r="Y37" s="422"/>
      <c r="Z37" s="1555"/>
    </row>
    <row r="38" spans="2:26" s="396" customFormat="1" ht="9" customHeight="1" thickBot="1" x14ac:dyDescent="0.3">
      <c r="B38" s="600"/>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1624"/>
    </row>
    <row r="39" spans="2:26" s="396" customFormat="1" x14ac:dyDescent="0.25"/>
    <row r="40" spans="2:26" s="396" customFormat="1" x14ac:dyDescent="0.25"/>
    <row r="41" spans="2:26" s="396" customFormat="1" x14ac:dyDescent="0.25"/>
    <row r="42" spans="2:26" s="396" customFormat="1" x14ac:dyDescent="0.25"/>
    <row r="43" spans="2:26" s="396" customFormat="1" x14ac:dyDescent="0.25"/>
  </sheetData>
  <sheetProtection algorithmName="SHA-512" hashValue="u14lfSF/SQqVTyBZdqgUKEuJHEMD8CtdY+Muzn4hetRPdGJSglQvkf4TwCDbq8HeQBsVKLhB7FVjDpZap+VzyQ==" saltValue="7wDDCx+E3mb0OD5F/ROYlg==" spinCount="100000" sheet="1" formatCells="0" formatColumns="0" formatRows="0"/>
  <mergeCells count="23">
    <mergeCell ref="C37:X37"/>
    <mergeCell ref="S12:S26"/>
    <mergeCell ref="T12:T27"/>
    <mergeCell ref="U12:U28"/>
    <mergeCell ref="V12:V29"/>
    <mergeCell ref="M12:M20"/>
    <mergeCell ref="N12:N21"/>
    <mergeCell ref="M34:V34"/>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s>
  <conditionalFormatting sqref="E12:X29 E30:W30 E31:X33 E35:N35 E34:M34">
    <cfRule type="cellIs" dxfId="0" priority="1" operator="equal">
      <formula>"X"</formula>
    </cfRule>
  </conditionalFormatting>
  <dataValidations disablePrompts="1" count="1">
    <dataValidation type="list" allowBlank="1" showInputMessage="1" showErrorMessage="1" sqref="F14:F32 G15:G32 H16:H32 I17:I32 J18:J32 K19:K32 L20:L32 M21:M32 N22:N32 O23:O32 P24:P32 Q25:Q32 R26:R32 S27:S32 T28:T32 U29:U32 V30:V32 W31:W32 X32 E13:E32" xr:uid="{00000000-0002-0000-1F00-000000000000}">
      <formula1>"X"</formula1>
    </dataValidation>
  </dataValidations>
  <pageMargins left="0.7" right="0.7" top="0.75" bottom="0.75" header="0.3" footer="0.3"/>
  <pageSetup scale="88" orientation="landscape" r:id="rId1"/>
  <headerFooter>
    <oddFooter>&amp;LForm 9B
Identity of Interest Matrix&amp;CCFA Forms</oddFooter>
  </headerFooter>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1:M43"/>
  <sheetViews>
    <sheetView showGridLines="0" zoomScaleNormal="100" workbookViewId="0">
      <selection activeCell="N34" sqref="N34"/>
    </sheetView>
  </sheetViews>
  <sheetFormatPr defaultColWidth="9.140625" defaultRowHeight="15" x14ac:dyDescent="0.25"/>
  <cols>
    <col min="1" max="2" width="1.7109375" style="399" customWidth="1"/>
    <col min="3" max="3" width="27.140625" style="399" customWidth="1"/>
    <col min="4" max="4" width="9.140625" style="399"/>
    <col min="5" max="5" width="11.42578125" style="399" customWidth="1"/>
    <col min="6" max="6" width="15.28515625" style="399" customWidth="1"/>
    <col min="7" max="7" width="13.140625" style="399" customWidth="1"/>
    <col min="8" max="8" width="9.140625" style="399"/>
    <col min="9" max="9" width="14.5703125" style="399" bestFit="1" customWidth="1"/>
    <col min="10" max="11" width="11" style="399" customWidth="1"/>
    <col min="12" max="12" width="14.85546875" style="399" customWidth="1"/>
    <col min="13" max="13" width="1.7109375" style="399" customWidth="1"/>
    <col min="14" max="16384" width="9.140625" style="399"/>
  </cols>
  <sheetData>
    <row r="11" spans="2:13" ht="7.5" customHeight="1" thickBot="1" x14ac:dyDescent="0.3">
      <c r="B11" s="647"/>
      <c r="C11" s="647"/>
      <c r="D11" s="647"/>
      <c r="E11" s="647"/>
      <c r="F11" s="647"/>
      <c r="G11" s="647"/>
      <c r="H11" s="647"/>
      <c r="I11" s="647"/>
      <c r="J11" s="647"/>
      <c r="K11" s="647"/>
      <c r="L11" s="647"/>
      <c r="M11" s="648"/>
    </row>
    <row r="12" spans="2:13" ht="9" customHeight="1" x14ac:dyDescent="0.3">
      <c r="B12" s="302"/>
      <c r="C12" s="303"/>
      <c r="D12" s="304"/>
      <c r="E12" s="303"/>
      <c r="F12" s="303"/>
      <c r="G12" s="303"/>
      <c r="H12" s="303"/>
      <c r="I12" s="303"/>
      <c r="J12" s="303"/>
      <c r="K12" s="304"/>
      <c r="L12" s="303"/>
      <c r="M12" s="305"/>
    </row>
    <row r="13" spans="2:13" ht="18.75" x14ac:dyDescent="0.3">
      <c r="B13" s="306"/>
      <c r="C13" s="2421" t="s">
        <v>480</v>
      </c>
      <c r="D13" s="2421"/>
      <c r="E13" s="2421"/>
      <c r="F13" s="2421"/>
      <c r="G13" s="2421"/>
      <c r="H13" s="2421"/>
      <c r="I13" s="2421"/>
      <c r="J13" s="2421"/>
      <c r="K13" s="2421"/>
      <c r="L13" s="2421"/>
      <c r="M13" s="307"/>
    </row>
    <row r="14" spans="2:13" ht="15" customHeight="1" x14ac:dyDescent="0.3">
      <c r="B14" s="306"/>
      <c r="C14" s="725"/>
      <c r="D14" s="725"/>
      <c r="E14" s="725"/>
      <c r="F14" s="725"/>
      <c r="G14" s="725"/>
      <c r="H14" s="725"/>
      <c r="I14" s="725"/>
      <c r="J14" s="725"/>
      <c r="K14" s="725"/>
      <c r="L14" s="725"/>
      <c r="M14" s="307"/>
    </row>
    <row r="15" spans="2:13" ht="15.75" thickBot="1" x14ac:dyDescent="0.3">
      <c r="B15" s="308"/>
      <c r="C15" s="2688" t="str">
        <f>IF('1'!G5="","Enter Project Name on Form 1",(CONCATENATE("Project Name: ",'1'!G5)))</f>
        <v>Enter Project Name on Form 1</v>
      </c>
      <c r="D15" s="2688"/>
      <c r="E15" s="2688"/>
      <c r="F15" s="2688"/>
      <c r="G15" s="2688"/>
      <c r="H15" s="2688"/>
      <c r="I15" s="2688"/>
      <c r="J15" s="130"/>
      <c r="K15" s="130"/>
      <c r="L15" s="130"/>
      <c r="M15" s="310"/>
    </row>
    <row r="16" spans="2:13" ht="22.5" customHeight="1" x14ac:dyDescent="0.25">
      <c r="B16" s="308"/>
      <c r="C16" s="311"/>
      <c r="D16" s="309"/>
      <c r="E16" s="309"/>
      <c r="F16" s="309"/>
      <c r="G16" s="309"/>
      <c r="H16" s="309"/>
      <c r="I16" s="649"/>
      <c r="J16" s="649"/>
      <c r="K16" s="649"/>
      <c r="L16" s="649"/>
      <c r="M16" s="310"/>
    </row>
    <row r="17" spans="2:13" ht="16.5" thickBot="1" x14ac:dyDescent="0.3">
      <c r="B17" s="308"/>
      <c r="C17" s="323" t="s">
        <v>481</v>
      </c>
      <c r="D17" s="312"/>
      <c r="E17" s="313"/>
      <c r="F17" s="311"/>
      <c r="G17" s="311"/>
      <c r="H17" s="311"/>
      <c r="I17" s="311"/>
      <c r="J17" s="311"/>
      <c r="K17" s="311"/>
      <c r="L17" s="311"/>
      <c r="M17" s="310"/>
    </row>
    <row r="18" spans="2:13" ht="24.75" thickBot="1" x14ac:dyDescent="0.3">
      <c r="B18" s="314"/>
      <c r="C18" s="724" t="s">
        <v>482</v>
      </c>
      <c r="D18" s="982" t="s">
        <v>483</v>
      </c>
      <c r="E18" s="315" t="s">
        <v>484</v>
      </c>
      <c r="F18" s="316" t="s">
        <v>485</v>
      </c>
      <c r="G18" s="316" t="s">
        <v>486</v>
      </c>
      <c r="H18" s="316" t="s">
        <v>513</v>
      </c>
      <c r="I18" s="316" t="s">
        <v>487</v>
      </c>
      <c r="J18" s="316" t="s">
        <v>609</v>
      </c>
      <c r="K18" s="316" t="s">
        <v>488</v>
      </c>
      <c r="L18" s="317" t="s">
        <v>489</v>
      </c>
      <c r="M18" s="307"/>
    </row>
    <row r="19" spans="2:13" x14ac:dyDescent="0.25">
      <c r="B19" s="318"/>
      <c r="C19" s="978"/>
      <c r="D19" s="1005" t="s">
        <v>554</v>
      </c>
      <c r="E19" s="1006" t="s">
        <v>541</v>
      </c>
      <c r="F19" s="963"/>
      <c r="G19" s="964"/>
      <c r="H19" s="965"/>
      <c r="I19" s="965"/>
      <c r="J19" s="965" t="s">
        <v>541</v>
      </c>
      <c r="K19" s="1002"/>
      <c r="L19" s="966"/>
      <c r="M19" s="307"/>
    </row>
    <row r="20" spans="2:13" x14ac:dyDescent="0.25">
      <c r="B20" s="314"/>
      <c r="C20" s="979"/>
      <c r="D20" s="1007"/>
      <c r="E20" s="1008"/>
      <c r="F20" s="969"/>
      <c r="G20" s="970"/>
      <c r="H20" s="971"/>
      <c r="I20" s="971"/>
      <c r="J20" s="971"/>
      <c r="K20" s="1003"/>
      <c r="L20" s="972"/>
      <c r="M20" s="307"/>
    </row>
    <row r="21" spans="2:13" x14ac:dyDescent="0.25">
      <c r="B21" s="314"/>
      <c r="C21" s="979"/>
      <c r="D21" s="1007"/>
      <c r="E21" s="1008"/>
      <c r="F21" s="973"/>
      <c r="G21" s="970"/>
      <c r="H21" s="971"/>
      <c r="I21" s="971"/>
      <c r="J21" s="971"/>
      <c r="K21" s="1003"/>
      <c r="L21" s="972"/>
      <c r="M21" s="307"/>
    </row>
    <row r="22" spans="2:13" x14ac:dyDescent="0.25">
      <c r="B22" s="314"/>
      <c r="C22" s="979"/>
      <c r="D22" s="1007"/>
      <c r="E22" s="1008"/>
      <c r="F22" s="973"/>
      <c r="G22" s="970"/>
      <c r="H22" s="971"/>
      <c r="I22" s="971"/>
      <c r="J22" s="971"/>
      <c r="K22" s="1003"/>
      <c r="L22" s="972"/>
      <c r="M22" s="307"/>
    </row>
    <row r="23" spans="2:13" x14ac:dyDescent="0.25">
      <c r="B23" s="314"/>
      <c r="C23" s="979"/>
      <c r="D23" s="1007"/>
      <c r="E23" s="1008"/>
      <c r="F23" s="973"/>
      <c r="G23" s="970"/>
      <c r="H23" s="971"/>
      <c r="I23" s="971"/>
      <c r="J23" s="971"/>
      <c r="K23" s="1003"/>
      <c r="L23" s="972"/>
      <c r="M23" s="307"/>
    </row>
    <row r="24" spans="2:13" x14ac:dyDescent="0.25">
      <c r="B24" s="314"/>
      <c r="C24" s="979"/>
      <c r="D24" s="1007"/>
      <c r="E24" s="1008"/>
      <c r="F24" s="973"/>
      <c r="G24" s="970"/>
      <c r="H24" s="971"/>
      <c r="I24" s="971"/>
      <c r="J24" s="971"/>
      <c r="K24" s="1003"/>
      <c r="L24" s="972"/>
      <c r="M24" s="307"/>
    </row>
    <row r="25" spans="2:13" x14ac:dyDescent="0.25">
      <c r="B25" s="314"/>
      <c r="C25" s="979"/>
      <c r="D25" s="1007"/>
      <c r="E25" s="1008"/>
      <c r="F25" s="973"/>
      <c r="G25" s="970"/>
      <c r="H25" s="971"/>
      <c r="I25" s="971"/>
      <c r="J25" s="971"/>
      <c r="K25" s="1003"/>
      <c r="L25" s="972"/>
      <c r="M25" s="307"/>
    </row>
    <row r="26" spans="2:13" x14ac:dyDescent="0.25">
      <c r="B26" s="314"/>
      <c r="C26" s="1018"/>
      <c r="D26" s="1019"/>
      <c r="E26" s="1020"/>
      <c r="F26" s="1021"/>
      <c r="G26" s="1013"/>
      <c r="H26" s="1014"/>
      <c r="I26" s="1014"/>
      <c r="J26" s="1014"/>
      <c r="K26" s="1016"/>
      <c r="L26" s="1017"/>
      <c r="M26" s="307"/>
    </row>
    <row r="27" spans="2:13" ht="6.75" customHeight="1" thickBot="1" x14ac:dyDescent="0.3">
      <c r="B27" s="314"/>
      <c r="C27" s="1625"/>
      <c r="D27" s="1626"/>
      <c r="E27" s="1626"/>
      <c r="F27" s="1627"/>
      <c r="G27" s="1628"/>
      <c r="H27" s="1629"/>
      <c r="I27" s="1629"/>
      <c r="J27" s="1629"/>
      <c r="K27" s="1629"/>
      <c r="L27" s="1630"/>
      <c r="M27" s="307"/>
    </row>
    <row r="28" spans="2:13" ht="7.5" customHeight="1" x14ac:dyDescent="0.25">
      <c r="B28" s="314"/>
      <c r="C28" s="333"/>
      <c r="D28" s="333"/>
      <c r="E28" s="333"/>
      <c r="F28" s="650"/>
      <c r="G28" s="333"/>
      <c r="H28" s="651"/>
      <c r="I28" s="651"/>
      <c r="J28" s="651"/>
      <c r="K28" s="651"/>
      <c r="L28" s="651"/>
      <c r="M28" s="307"/>
    </row>
    <row r="29" spans="2:13" ht="16.5" thickBot="1" x14ac:dyDescent="0.3">
      <c r="B29" s="308"/>
      <c r="C29" s="323" t="s">
        <v>490</v>
      </c>
      <c r="D29" s="312"/>
      <c r="E29" s="313"/>
      <c r="F29" s="311"/>
      <c r="G29" s="311"/>
      <c r="H29" s="311"/>
      <c r="I29" s="311"/>
      <c r="J29" s="311"/>
      <c r="K29" s="311"/>
      <c r="L29" s="311"/>
      <c r="M29" s="310"/>
    </row>
    <row r="30" spans="2:13" ht="24.75" thickBot="1" x14ac:dyDescent="0.3">
      <c r="B30" s="314"/>
      <c r="C30" s="724" t="s">
        <v>491</v>
      </c>
      <c r="D30" s="982" t="s">
        <v>483</v>
      </c>
      <c r="E30" s="315" t="s">
        <v>484</v>
      </c>
      <c r="F30" s="316" t="s">
        <v>485</v>
      </c>
      <c r="G30" s="316" t="s">
        <v>486</v>
      </c>
      <c r="H30" s="316" t="s">
        <v>513</v>
      </c>
      <c r="I30" s="316" t="s">
        <v>608</v>
      </c>
      <c r="J30" s="316" t="s">
        <v>609</v>
      </c>
      <c r="K30" s="316" t="s">
        <v>516</v>
      </c>
      <c r="L30" s="317" t="s">
        <v>489</v>
      </c>
      <c r="M30" s="307"/>
    </row>
    <row r="31" spans="2:13" x14ac:dyDescent="0.25">
      <c r="B31" s="318"/>
      <c r="C31" s="980"/>
      <c r="D31" s="961" t="s">
        <v>554</v>
      </c>
      <c r="E31" s="962" t="s">
        <v>541</v>
      </c>
      <c r="F31" s="975"/>
      <c r="G31" s="964"/>
      <c r="H31" s="965"/>
      <c r="I31" s="1000" t="s">
        <v>541</v>
      </c>
      <c r="J31" s="965" t="s">
        <v>541</v>
      </c>
      <c r="K31" s="1002"/>
      <c r="L31" s="966"/>
      <c r="M31" s="307"/>
    </row>
    <row r="32" spans="2:13" x14ac:dyDescent="0.25">
      <c r="B32" s="314"/>
      <c r="C32" s="981"/>
      <c r="D32" s="967"/>
      <c r="E32" s="968"/>
      <c r="F32" s="976"/>
      <c r="G32" s="970"/>
      <c r="H32" s="971"/>
      <c r="I32" s="1001"/>
      <c r="J32" s="971"/>
      <c r="K32" s="1003"/>
      <c r="L32" s="972"/>
      <c r="M32" s="307"/>
    </row>
    <row r="33" spans="2:13" x14ac:dyDescent="0.25">
      <c r="B33" s="314"/>
      <c r="C33" s="981"/>
      <c r="D33" s="967"/>
      <c r="E33" s="968"/>
      <c r="F33" s="977"/>
      <c r="G33" s="970"/>
      <c r="H33" s="971"/>
      <c r="I33" s="1001"/>
      <c r="J33" s="971"/>
      <c r="K33" s="1003"/>
      <c r="L33" s="972"/>
      <c r="M33" s="307"/>
    </row>
    <row r="34" spans="2:13" x14ac:dyDescent="0.25">
      <c r="B34" s="314"/>
      <c r="C34" s="981"/>
      <c r="D34" s="967"/>
      <c r="E34" s="968"/>
      <c r="F34" s="977"/>
      <c r="G34" s="970"/>
      <c r="H34" s="971"/>
      <c r="I34" s="1001"/>
      <c r="J34" s="971"/>
      <c r="K34" s="1003"/>
      <c r="L34" s="972"/>
      <c r="M34" s="307"/>
    </row>
    <row r="35" spans="2:13" x14ac:dyDescent="0.25">
      <c r="B35" s="314"/>
      <c r="C35" s="981"/>
      <c r="D35" s="967"/>
      <c r="E35" s="968"/>
      <c r="F35" s="977"/>
      <c r="G35" s="970"/>
      <c r="H35" s="971"/>
      <c r="I35" s="1001"/>
      <c r="J35" s="971"/>
      <c r="K35" s="1003"/>
      <c r="L35" s="972"/>
      <c r="M35" s="307"/>
    </row>
    <row r="36" spans="2:13" x14ac:dyDescent="0.25">
      <c r="B36" s="314"/>
      <c r="C36" s="1009"/>
      <c r="D36" s="1010"/>
      <c r="E36" s="1011"/>
      <c r="F36" s="1012"/>
      <c r="G36" s="1013"/>
      <c r="H36" s="1014"/>
      <c r="I36" s="1015"/>
      <c r="J36" s="1014"/>
      <c r="K36" s="1016"/>
      <c r="L36" s="1017"/>
      <c r="M36" s="307"/>
    </row>
    <row r="37" spans="2:13" ht="7.5" customHeight="1" thickBot="1" x14ac:dyDescent="0.3">
      <c r="B37" s="314"/>
      <c r="C37" s="1631"/>
      <c r="D37" s="1627"/>
      <c r="E37" s="1627"/>
      <c r="F37" s="1628"/>
      <c r="G37" s="1628"/>
      <c r="H37" s="1629"/>
      <c r="I37" s="1632"/>
      <c r="J37" s="1629"/>
      <c r="K37" s="1629"/>
      <c r="L37" s="1630"/>
      <c r="M37" s="307"/>
    </row>
    <row r="38" spans="2:13" ht="9" customHeight="1" thickBot="1" x14ac:dyDescent="0.3">
      <c r="B38" s="320"/>
      <c r="C38" s="321"/>
      <c r="D38" s="321"/>
      <c r="E38" s="321"/>
      <c r="F38" s="321"/>
      <c r="G38" s="321"/>
      <c r="H38" s="321"/>
      <c r="I38" s="321"/>
      <c r="J38" s="321"/>
      <c r="K38" s="321"/>
      <c r="L38" s="321"/>
      <c r="M38" s="322"/>
    </row>
    <row r="43" spans="2:13" ht="14.25" customHeight="1" x14ac:dyDescent="0.25"/>
  </sheetData>
  <sheetProtection algorithmName="SHA-512" hashValue="2tLhDmTgcRVKI1WXuZSYpTCix9F6qXtNtheAt+21hU7aysyVZ3rqyTPZdVTpKgzsLtVc9UjjHU4hsdIg3NYOdA==" saltValue="9D2BJOKsLQB/Nx7hxWSUCg==" spinCount="100000" sheet="1" formatCells="0" formatColumns="0" formatRows="0" insertRows="0"/>
  <mergeCells count="2">
    <mergeCell ref="C13:L13"/>
    <mergeCell ref="C15:I15"/>
  </mergeCells>
  <dataValidations disablePrompts="1" count="4">
    <dataValidation type="list" allowBlank="1" showInputMessage="1" showErrorMessage="1" sqref="D19:D27 D31:D37" xr:uid="{00000000-0002-0000-2000-000000000000}">
      <formula1>Project_Type</formula1>
    </dataValidation>
    <dataValidation type="list" allowBlank="1" showInputMessage="1" showErrorMessage="1" sqref="E19:E27 E31:E37" xr:uid="{00000000-0002-0000-2000-000001000000}">
      <formula1>Act_Typ</formula1>
    </dataValidation>
    <dataValidation type="list" allowBlank="1" showInputMessage="1" showErrorMessage="1" sqref="J19:J27 J31:J37" xr:uid="{00000000-0002-0000-2000-000002000000}">
      <formula1>OnTime_OnBudget</formula1>
    </dataValidation>
    <dataValidation type="list" allowBlank="1" showInputMessage="1" showErrorMessage="1" sqref="I31:I37" xr:uid="{00000000-0002-0000-2000-000003000000}">
      <formula1>Project_Status</formula1>
    </dataValidation>
  </dataValidations>
  <pageMargins left="0.7" right="0.7" top="0.75" bottom="0.75" header="0.3" footer="0.3"/>
  <pageSetup scale="87" orientation="landscape" r:id="rId1"/>
  <headerFooter>
    <oddFooter>&amp;LForm 9C
Project Sponsor Experience&amp;CCFA Forms</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4:L43"/>
  <sheetViews>
    <sheetView showGridLines="0" zoomScaleNormal="100" workbookViewId="0">
      <selection activeCell="N34" sqref="N34"/>
    </sheetView>
  </sheetViews>
  <sheetFormatPr defaultColWidth="9.140625" defaultRowHeight="15" x14ac:dyDescent="0.25"/>
  <cols>
    <col min="1" max="2" width="1.7109375" style="399" customWidth="1"/>
    <col min="3" max="3" width="27.140625" style="399" customWidth="1"/>
    <col min="4" max="5" width="9.140625" style="399"/>
    <col min="6" max="6" width="15.28515625" style="399" customWidth="1"/>
    <col min="7" max="7" width="14.28515625" style="399" customWidth="1"/>
    <col min="8" max="9" width="16.5703125" style="399" customWidth="1"/>
    <col min="10" max="10" width="14.85546875" style="399" customWidth="1"/>
    <col min="11" max="11" width="17.140625" style="399" customWidth="1"/>
    <col min="12" max="12" width="1.7109375" style="399" customWidth="1"/>
    <col min="13" max="16384" width="9.140625" style="399"/>
  </cols>
  <sheetData>
    <row r="14" spans="2:12" ht="7.5" customHeight="1" thickBot="1" x14ac:dyDescent="0.3">
      <c r="B14" s="648"/>
      <c r="C14" s="648"/>
      <c r="D14" s="648"/>
      <c r="E14" s="648"/>
      <c r="F14" s="648"/>
      <c r="G14" s="648"/>
      <c r="H14" s="648"/>
      <c r="I14" s="648"/>
      <c r="J14" s="648"/>
      <c r="K14" s="648"/>
      <c r="L14" s="648"/>
    </row>
    <row r="15" spans="2:12" ht="9" customHeight="1" x14ac:dyDescent="0.3">
      <c r="B15" s="302"/>
      <c r="C15" s="324"/>
      <c r="D15" s="303"/>
      <c r="E15" s="303"/>
      <c r="F15" s="303"/>
      <c r="G15" s="303"/>
      <c r="H15" s="303"/>
      <c r="I15" s="304"/>
      <c r="J15" s="303"/>
      <c r="K15" s="303"/>
      <c r="L15" s="305"/>
    </row>
    <row r="16" spans="2:12" ht="18.75" x14ac:dyDescent="0.3">
      <c r="B16" s="306"/>
      <c r="C16" s="1502" t="s">
        <v>544</v>
      </c>
      <c r="D16" s="713"/>
      <c r="E16" s="713"/>
      <c r="F16" s="713"/>
      <c r="G16" s="713"/>
      <c r="H16" s="713"/>
      <c r="I16" s="713"/>
      <c r="J16" s="713"/>
      <c r="K16" s="713"/>
      <c r="L16" s="307"/>
    </row>
    <row r="17" spans="2:12" ht="15" customHeight="1" x14ac:dyDescent="0.3">
      <c r="B17" s="306"/>
      <c r="C17" s="1501"/>
      <c r="D17" s="725"/>
      <c r="E17" s="725"/>
      <c r="F17" s="725"/>
      <c r="G17" s="725"/>
      <c r="H17" s="725"/>
      <c r="I17" s="725"/>
      <c r="J17" s="725"/>
      <c r="K17" s="725"/>
      <c r="L17" s="307"/>
    </row>
    <row r="18" spans="2:12" ht="15.75" thickBot="1" x14ac:dyDescent="0.3">
      <c r="B18" s="308"/>
      <c r="C18" s="2688" t="str">
        <f>IF('1'!G5="","Enter Project Name on Form 1",(CONCATENATE("Project Name: ",'1'!G5)))</f>
        <v>Enter Project Name on Form 1</v>
      </c>
      <c r="D18" s="2688"/>
      <c r="E18" s="2688"/>
      <c r="F18" s="2688"/>
      <c r="G18" s="2688"/>
      <c r="H18" s="2688"/>
      <c r="I18" s="2688"/>
      <c r="J18" s="2688"/>
      <c r="K18" s="491"/>
      <c r="L18" s="310"/>
    </row>
    <row r="19" spans="2:12" ht="22.5" customHeight="1" x14ac:dyDescent="0.25">
      <c r="B19" s="308"/>
      <c r="C19" s="193"/>
      <c r="D19" s="309"/>
      <c r="E19" s="309"/>
      <c r="F19" s="309"/>
      <c r="G19" s="309"/>
      <c r="H19" s="309"/>
      <c r="I19" s="309"/>
      <c r="J19" s="309"/>
      <c r="K19" s="311"/>
      <c r="L19" s="310"/>
    </row>
    <row r="20" spans="2:12" ht="15.75" customHeight="1" x14ac:dyDescent="0.25">
      <c r="B20" s="308"/>
      <c r="C20" s="328" t="s">
        <v>492</v>
      </c>
      <c r="D20" s="328"/>
      <c r="E20" s="328"/>
      <c r="F20" s="328"/>
      <c r="G20" s="328"/>
      <c r="H20" s="311"/>
      <c r="I20" s="311"/>
      <c r="J20" s="311"/>
      <c r="K20" s="311"/>
      <c r="L20" s="310"/>
    </row>
    <row r="21" spans="2:12" x14ac:dyDescent="0.25">
      <c r="B21" s="314"/>
      <c r="C21" s="1503" t="s">
        <v>493</v>
      </c>
      <c r="D21" s="329" t="str">
        <f>IF('1'!G15="","Enter Development Consultant Firm Name on Form 1A",'1'!G15)</f>
        <v>Enter Development Consultant Firm Name on Form 1A</v>
      </c>
      <c r="E21" s="330"/>
      <c r="F21" s="330"/>
      <c r="G21" s="330"/>
      <c r="H21" s="330"/>
      <c r="I21" s="1022"/>
      <c r="J21" s="331"/>
      <c r="K21" s="649"/>
      <c r="L21" s="325"/>
    </row>
    <row r="22" spans="2:12" ht="3.75" customHeight="1" thickBot="1" x14ac:dyDescent="0.3">
      <c r="B22" s="314"/>
      <c r="C22" s="326"/>
      <c r="D22" s="649"/>
      <c r="E22" s="649"/>
      <c r="F22" s="649"/>
      <c r="G22" s="649"/>
      <c r="H22" s="649"/>
      <c r="I22" s="649"/>
      <c r="J22" s="649"/>
      <c r="K22" s="649"/>
      <c r="L22" s="307"/>
    </row>
    <row r="23" spans="2:12" ht="24.75" thickBot="1" x14ac:dyDescent="0.3">
      <c r="B23" s="314"/>
      <c r="C23" s="332" t="s">
        <v>482</v>
      </c>
      <c r="D23" s="982" t="s">
        <v>483</v>
      </c>
      <c r="E23" s="315" t="s">
        <v>484</v>
      </c>
      <c r="F23" s="316" t="s">
        <v>486</v>
      </c>
      <c r="G23" s="316" t="s">
        <v>513</v>
      </c>
      <c r="H23" s="316" t="s">
        <v>487</v>
      </c>
      <c r="I23" s="982" t="s">
        <v>617</v>
      </c>
      <c r="J23" s="316" t="s">
        <v>488</v>
      </c>
      <c r="K23" s="317" t="s">
        <v>489</v>
      </c>
      <c r="L23" s="307"/>
    </row>
    <row r="24" spans="2:12" x14ac:dyDescent="0.25">
      <c r="B24" s="318"/>
      <c r="C24" s="985"/>
      <c r="D24" s="961" t="s">
        <v>554</v>
      </c>
      <c r="E24" s="962" t="s">
        <v>541</v>
      </c>
      <c r="F24" s="983"/>
      <c r="G24" s="795"/>
      <c r="H24" s="964"/>
      <c r="I24" s="964" t="s">
        <v>541</v>
      </c>
      <c r="J24" s="965"/>
      <c r="K24" s="966"/>
      <c r="L24" s="307"/>
    </row>
    <row r="25" spans="2:12" x14ac:dyDescent="0.25">
      <c r="B25" s="314"/>
      <c r="C25" s="986"/>
      <c r="D25" s="967"/>
      <c r="E25" s="968"/>
      <c r="F25" s="984"/>
      <c r="G25" s="973"/>
      <c r="H25" s="970"/>
      <c r="I25" s="970"/>
      <c r="J25" s="971"/>
      <c r="K25" s="972"/>
      <c r="L25" s="307"/>
    </row>
    <row r="26" spans="2:12" x14ac:dyDescent="0.25">
      <c r="B26" s="314"/>
      <c r="C26" s="762"/>
      <c r="D26" s="967"/>
      <c r="E26" s="968"/>
      <c r="F26" s="984"/>
      <c r="G26" s="973"/>
      <c r="H26" s="970"/>
      <c r="I26" s="970"/>
      <c r="J26" s="971"/>
      <c r="K26" s="972"/>
      <c r="L26" s="307"/>
    </row>
    <row r="27" spans="2:12" x14ac:dyDescent="0.25">
      <c r="B27" s="314"/>
      <c r="C27" s="762"/>
      <c r="D27" s="967"/>
      <c r="E27" s="968"/>
      <c r="F27" s="984"/>
      <c r="G27" s="973"/>
      <c r="H27" s="970"/>
      <c r="I27" s="970"/>
      <c r="J27" s="971"/>
      <c r="K27" s="972"/>
      <c r="L27" s="307"/>
    </row>
    <row r="28" spans="2:12" x14ac:dyDescent="0.25">
      <c r="B28" s="314"/>
      <c r="C28" s="762"/>
      <c r="D28" s="967"/>
      <c r="E28" s="968"/>
      <c r="F28" s="984"/>
      <c r="G28" s="973"/>
      <c r="H28" s="970"/>
      <c r="I28" s="970"/>
      <c r="J28" s="971"/>
      <c r="K28" s="972"/>
      <c r="L28" s="307"/>
    </row>
    <row r="29" spans="2:12" x14ac:dyDescent="0.25">
      <c r="B29" s="319"/>
      <c r="C29" s="762"/>
      <c r="D29" s="967"/>
      <c r="E29" s="968"/>
      <c r="F29" s="984"/>
      <c r="G29" s="973"/>
      <c r="H29" s="970"/>
      <c r="I29" s="970"/>
      <c r="J29" s="971"/>
      <c r="K29" s="972"/>
      <c r="L29" s="307"/>
    </row>
    <row r="30" spans="2:12" x14ac:dyDescent="0.25">
      <c r="B30" s="319"/>
      <c r="C30" s="762"/>
      <c r="D30" s="967"/>
      <c r="E30" s="968"/>
      <c r="F30" s="984"/>
      <c r="G30" s="973"/>
      <c r="H30" s="970"/>
      <c r="I30" s="970"/>
      <c r="J30" s="971"/>
      <c r="K30" s="972"/>
      <c r="L30" s="307"/>
    </row>
    <row r="31" spans="2:12" x14ac:dyDescent="0.25">
      <c r="B31" s="314"/>
      <c r="C31" s="762"/>
      <c r="D31" s="967"/>
      <c r="E31" s="968"/>
      <c r="F31" s="984"/>
      <c r="G31" s="973"/>
      <c r="H31" s="970"/>
      <c r="I31" s="970"/>
      <c r="J31" s="971"/>
      <c r="K31" s="972"/>
      <c r="L31" s="307"/>
    </row>
    <row r="32" spans="2:12" ht="7.5" customHeight="1" thickBot="1" x14ac:dyDescent="0.3">
      <c r="B32" s="314"/>
      <c r="C32" s="1545"/>
      <c r="D32" s="1633"/>
      <c r="E32" s="1634"/>
      <c r="F32" s="1635"/>
      <c r="G32" s="1636"/>
      <c r="H32" s="1637"/>
      <c r="I32" s="1637"/>
      <c r="J32" s="1638"/>
      <c r="K32" s="1639"/>
      <c r="L32" s="307"/>
    </row>
    <row r="33" spans="2:12" ht="7.5" customHeight="1" x14ac:dyDescent="0.25">
      <c r="B33" s="308"/>
      <c r="C33" s="326"/>
      <c r="D33" s="333"/>
      <c r="E33" s="333"/>
      <c r="F33" s="333"/>
      <c r="G33" s="333"/>
      <c r="H33" s="333"/>
      <c r="I33" s="333"/>
      <c r="J33" s="333"/>
      <c r="K33" s="333"/>
      <c r="L33" s="310"/>
    </row>
    <row r="34" spans="2:12" ht="16.5" customHeight="1" thickBot="1" x14ac:dyDescent="0.3">
      <c r="B34" s="308"/>
      <c r="C34" s="323" t="s">
        <v>494</v>
      </c>
      <c r="D34" s="323"/>
      <c r="E34" s="323"/>
      <c r="F34" s="323"/>
      <c r="G34" s="323"/>
      <c r="H34" s="311"/>
      <c r="I34" s="311"/>
      <c r="J34" s="311"/>
      <c r="K34" s="311"/>
      <c r="L34" s="310"/>
    </row>
    <row r="35" spans="2:12" ht="24.75" thickBot="1" x14ac:dyDescent="0.3">
      <c r="B35" s="314"/>
      <c r="C35" s="332" t="s">
        <v>491</v>
      </c>
      <c r="D35" s="982" t="s">
        <v>483</v>
      </c>
      <c r="E35" s="315" t="s">
        <v>484</v>
      </c>
      <c r="F35" s="316" t="s">
        <v>486</v>
      </c>
      <c r="G35" s="316" t="s">
        <v>513</v>
      </c>
      <c r="H35" s="316" t="s">
        <v>608</v>
      </c>
      <c r="I35" s="982" t="s">
        <v>617</v>
      </c>
      <c r="J35" s="316" t="s">
        <v>618</v>
      </c>
      <c r="K35" s="317" t="s">
        <v>489</v>
      </c>
      <c r="L35" s="307"/>
    </row>
    <row r="36" spans="2:12" x14ac:dyDescent="0.25">
      <c r="B36" s="318"/>
      <c r="C36" s="985"/>
      <c r="D36" s="987" t="s">
        <v>554</v>
      </c>
      <c r="E36" s="988" t="s">
        <v>541</v>
      </c>
      <c r="F36" s="962"/>
      <c r="G36" s="975"/>
      <c r="H36" s="964" t="s">
        <v>541</v>
      </c>
      <c r="I36" s="964" t="s">
        <v>541</v>
      </c>
      <c r="J36" s="965"/>
      <c r="K36" s="966"/>
      <c r="L36" s="307"/>
    </row>
    <row r="37" spans="2:12" x14ac:dyDescent="0.25">
      <c r="B37" s="314"/>
      <c r="C37" s="986"/>
      <c r="D37" s="989"/>
      <c r="E37" s="990"/>
      <c r="F37" s="968"/>
      <c r="G37" s="976"/>
      <c r="H37" s="970"/>
      <c r="I37" s="970"/>
      <c r="J37" s="971"/>
      <c r="K37" s="972"/>
      <c r="L37" s="307"/>
    </row>
    <row r="38" spans="2:12" x14ac:dyDescent="0.25">
      <c r="B38" s="314"/>
      <c r="C38" s="762"/>
      <c r="D38" s="989"/>
      <c r="E38" s="990"/>
      <c r="F38" s="968"/>
      <c r="G38" s="977"/>
      <c r="H38" s="970"/>
      <c r="I38" s="970"/>
      <c r="J38" s="971"/>
      <c r="K38" s="972"/>
      <c r="L38" s="307"/>
    </row>
    <row r="39" spans="2:12" x14ac:dyDescent="0.25">
      <c r="B39" s="314"/>
      <c r="C39" s="762"/>
      <c r="D39" s="989"/>
      <c r="E39" s="990"/>
      <c r="F39" s="968"/>
      <c r="G39" s="977"/>
      <c r="H39" s="970"/>
      <c r="I39" s="970"/>
      <c r="J39" s="971"/>
      <c r="K39" s="972"/>
      <c r="L39" s="307"/>
    </row>
    <row r="40" spans="2:12" x14ac:dyDescent="0.25">
      <c r="B40" s="314"/>
      <c r="C40" s="762"/>
      <c r="D40" s="989"/>
      <c r="E40" s="990"/>
      <c r="F40" s="968"/>
      <c r="G40" s="977"/>
      <c r="H40" s="970"/>
      <c r="I40" s="970"/>
      <c r="J40" s="971"/>
      <c r="K40" s="972"/>
      <c r="L40" s="307"/>
    </row>
    <row r="41" spans="2:12" x14ac:dyDescent="0.25">
      <c r="B41" s="314"/>
      <c r="C41" s="1024"/>
      <c r="D41" s="1025"/>
      <c r="E41" s="1026"/>
      <c r="F41" s="1011"/>
      <c r="G41" s="1012"/>
      <c r="H41" s="1013"/>
      <c r="I41" s="1013"/>
      <c r="J41" s="1014"/>
      <c r="K41" s="1017"/>
      <c r="L41" s="307"/>
    </row>
    <row r="42" spans="2:12" ht="7.5" customHeight="1" thickBot="1" x14ac:dyDescent="0.3">
      <c r="B42" s="314"/>
      <c r="C42" s="1545"/>
      <c r="D42" s="1640"/>
      <c r="E42" s="1641"/>
      <c r="F42" s="1634"/>
      <c r="G42" s="1637"/>
      <c r="H42" s="1637"/>
      <c r="I42" s="1637"/>
      <c r="J42" s="1638"/>
      <c r="K42" s="1639"/>
      <c r="L42" s="307"/>
    </row>
    <row r="43" spans="2:12" ht="9" customHeight="1" thickBot="1" x14ac:dyDescent="0.3">
      <c r="B43" s="320"/>
      <c r="C43" s="327"/>
      <c r="D43" s="321"/>
      <c r="E43" s="321"/>
      <c r="F43" s="321"/>
      <c r="G43" s="321"/>
      <c r="H43" s="321"/>
      <c r="I43" s="321"/>
      <c r="J43" s="321"/>
      <c r="K43" s="321"/>
      <c r="L43" s="322"/>
    </row>
  </sheetData>
  <sheetProtection algorithmName="SHA-512" hashValue="9hVZYR2ZZ1f7Jq2D4/nsVdqnZSLkU/2pxezg+eJAsw5zLm7Nhov1QIRyOqJ3TKos6v8y1u5WPKgyXGIqE1AaeA==" saltValue="Jb3YEGkuo1dmd65WS8CTRA==" spinCount="100000" sheet="1" formatCells="0" formatColumns="0" formatRows="0" insertRows="0"/>
  <mergeCells count="1">
    <mergeCell ref="C18:J18"/>
  </mergeCells>
  <dataValidations disablePrompts="1" count="4">
    <dataValidation type="list" allowBlank="1" showInputMessage="1" showErrorMessage="1" sqref="I24:I32 I36:I42" xr:uid="{00000000-0002-0000-2100-000000000000}">
      <formula1>OnTime_OnBudget</formula1>
    </dataValidation>
    <dataValidation type="list" allowBlank="1" showInputMessage="1" showErrorMessage="1" sqref="D24:D32 D36:D42" xr:uid="{00000000-0002-0000-2100-000001000000}">
      <formula1>Project_Type</formula1>
    </dataValidation>
    <dataValidation type="list" allowBlank="1" showInputMessage="1" showErrorMessage="1" sqref="E24:E32 E36:E42" xr:uid="{00000000-0002-0000-2100-000002000000}">
      <formula1>Act_Typ</formula1>
    </dataValidation>
    <dataValidation type="list" allowBlank="1" showInputMessage="1" showErrorMessage="1" sqref="H36:H42" xr:uid="{00000000-0002-0000-2100-000003000000}">
      <formula1>Project_Status</formula1>
    </dataValidation>
  </dataValidations>
  <pageMargins left="0.7" right="0.7" top="0.75" bottom="0.75" header="0.3" footer="0.3"/>
  <pageSetup scale="85" orientation="landscape" r:id="rId1"/>
  <headerFooter>
    <oddFooter>&amp;LForm 9D
Project Development Consultant Experience&amp;CCFA Forms</oddFoot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5:J25"/>
  <sheetViews>
    <sheetView showGridLines="0" zoomScaleNormal="100" workbookViewId="0">
      <selection activeCell="H31" sqref="H31"/>
    </sheetView>
  </sheetViews>
  <sheetFormatPr defaultColWidth="9.140625" defaultRowHeight="15" x14ac:dyDescent="0.25"/>
  <cols>
    <col min="1" max="2" width="1.7109375" style="399" customWidth="1"/>
    <col min="3" max="3" width="25.7109375" style="399" customWidth="1"/>
    <col min="4" max="4" width="14.28515625" style="399" customWidth="1"/>
    <col min="5" max="5" width="8.5703125" style="399" customWidth="1"/>
    <col min="6" max="6" width="22.85546875" style="399" customWidth="1"/>
    <col min="7" max="8" width="14.28515625" style="399" customWidth="1"/>
    <col min="9" max="9" width="12.85546875" style="399" customWidth="1"/>
    <col min="10" max="10" width="1.7109375" style="399" customWidth="1"/>
    <col min="11" max="16384" width="9.140625" style="399"/>
  </cols>
  <sheetData>
    <row r="5" spans="2:10" ht="19.5" customHeight="1" x14ac:dyDescent="0.25"/>
    <row r="6" spans="2:10" ht="7.5" customHeight="1" thickBot="1" x14ac:dyDescent="0.3">
      <c r="B6" s="648"/>
      <c r="C6" s="648"/>
      <c r="D6" s="648"/>
      <c r="E6" s="648"/>
      <c r="F6" s="648"/>
      <c r="G6" s="648"/>
      <c r="H6" s="648"/>
      <c r="I6" s="648"/>
      <c r="J6" s="648"/>
    </row>
    <row r="7" spans="2:10" ht="9" customHeight="1" x14ac:dyDescent="0.25">
      <c r="B7" s="334"/>
      <c r="C7" s="303"/>
      <c r="D7" s="303"/>
      <c r="E7" s="303"/>
      <c r="F7" s="303"/>
      <c r="G7" s="303"/>
      <c r="H7" s="303"/>
      <c r="I7" s="303"/>
      <c r="J7" s="305"/>
    </row>
    <row r="8" spans="2:10" ht="18.75" x14ac:dyDescent="0.3">
      <c r="B8" s="335"/>
      <c r="C8" s="1502" t="s">
        <v>545</v>
      </c>
      <c r="D8" s="713"/>
      <c r="E8" s="713"/>
      <c r="F8" s="713"/>
      <c r="G8" s="713"/>
      <c r="H8" s="713"/>
      <c r="I8" s="713"/>
      <c r="J8" s="307"/>
    </row>
    <row r="9" spans="2:10" x14ac:dyDescent="0.25">
      <c r="B9" s="335"/>
      <c r="C9" s="725"/>
      <c r="D9" s="725"/>
      <c r="E9" s="725"/>
      <c r="F9" s="725"/>
      <c r="G9" s="725"/>
      <c r="H9" s="725"/>
      <c r="I9" s="725"/>
      <c r="J9" s="307"/>
    </row>
    <row r="10" spans="2:10" ht="15.75" thickBot="1" x14ac:dyDescent="0.3">
      <c r="B10" s="308"/>
      <c r="C10" s="2688" t="str">
        <f>IF('1'!G5="","Enter Project Name on Form 1",(CONCATENATE("Project Name: ",'1'!G5)))</f>
        <v>Enter Project Name on Form 1</v>
      </c>
      <c r="D10" s="2688"/>
      <c r="E10" s="2688"/>
      <c r="F10" s="2688"/>
      <c r="G10" s="2688"/>
      <c r="H10" s="372"/>
      <c r="I10" s="372"/>
      <c r="J10" s="310"/>
    </row>
    <row r="11" spans="2:10" x14ac:dyDescent="0.25">
      <c r="B11" s="314"/>
      <c r="C11" s="725"/>
      <c r="D11" s="649"/>
      <c r="E11" s="649"/>
      <c r="F11" s="649"/>
      <c r="G11" s="649"/>
      <c r="H11" s="336"/>
      <c r="I11" s="336"/>
      <c r="J11" s="325"/>
    </row>
    <row r="12" spans="2:10" x14ac:dyDescent="0.25">
      <c r="B12" s="314"/>
      <c r="C12" s="1679" t="s">
        <v>495</v>
      </c>
      <c r="D12" s="2689" t="str">
        <f>IF('9A'!D64="","Enter Property Management Firm Name on Form 9A",'9A'!D64)</f>
        <v>Enter Property Management Firm Name on Form 9A</v>
      </c>
      <c r="E12" s="2689"/>
      <c r="F12" s="2689"/>
      <c r="G12" s="2689"/>
      <c r="H12" s="2689"/>
      <c r="I12" s="2690"/>
      <c r="J12" s="325"/>
    </row>
    <row r="13" spans="2:10" ht="15.75" thickBot="1" x14ac:dyDescent="0.3">
      <c r="B13" s="314"/>
      <c r="C13" s="333"/>
      <c r="D13" s="333"/>
      <c r="E13" s="649"/>
      <c r="F13" s="649"/>
      <c r="G13" s="649"/>
      <c r="H13" s="649"/>
      <c r="I13" s="649"/>
      <c r="J13" s="307"/>
    </row>
    <row r="14" spans="2:10" ht="36.75" thickBot="1" x14ac:dyDescent="0.3">
      <c r="B14" s="314"/>
      <c r="C14" s="332" t="s">
        <v>496</v>
      </c>
      <c r="D14" s="316" t="s">
        <v>486</v>
      </c>
      <c r="E14" s="316" t="s">
        <v>513</v>
      </c>
      <c r="F14" s="316" t="s">
        <v>497</v>
      </c>
      <c r="G14" s="316" t="s">
        <v>498</v>
      </c>
      <c r="H14" s="316" t="s">
        <v>514</v>
      </c>
      <c r="I14" s="317" t="s">
        <v>515</v>
      </c>
      <c r="J14" s="307"/>
    </row>
    <row r="15" spans="2:10" x14ac:dyDescent="0.25">
      <c r="B15" s="318"/>
      <c r="C15" s="1680"/>
      <c r="D15" s="991"/>
      <c r="E15" s="992"/>
      <c r="F15" s="997"/>
      <c r="G15" s="992"/>
      <c r="H15" s="992"/>
      <c r="I15" s="966"/>
      <c r="J15" s="307"/>
    </row>
    <row r="16" spans="2:10" x14ac:dyDescent="0.25">
      <c r="B16" s="314"/>
      <c r="C16" s="1678"/>
      <c r="D16" s="993"/>
      <c r="E16" s="994"/>
      <c r="F16" s="998"/>
      <c r="G16" s="994"/>
      <c r="H16" s="994"/>
      <c r="I16" s="972"/>
      <c r="J16" s="307"/>
    </row>
    <row r="17" spans="2:10" x14ac:dyDescent="0.25">
      <c r="B17" s="314"/>
      <c r="C17" s="1676"/>
      <c r="D17" s="993"/>
      <c r="E17" s="994"/>
      <c r="F17" s="998"/>
      <c r="G17" s="994"/>
      <c r="H17" s="994"/>
      <c r="I17" s="972"/>
      <c r="J17" s="307"/>
    </row>
    <row r="18" spans="2:10" x14ac:dyDescent="0.25">
      <c r="B18" s="314"/>
      <c r="C18" s="1676"/>
      <c r="D18" s="993"/>
      <c r="E18" s="994"/>
      <c r="F18" s="998"/>
      <c r="G18" s="994"/>
      <c r="H18" s="994"/>
      <c r="I18" s="972"/>
      <c r="J18" s="307"/>
    </row>
    <row r="19" spans="2:10" x14ac:dyDescent="0.25">
      <c r="B19" s="314"/>
      <c r="C19" s="1676"/>
      <c r="D19" s="993"/>
      <c r="E19" s="994"/>
      <c r="F19" s="998"/>
      <c r="G19" s="994"/>
      <c r="H19" s="994"/>
      <c r="I19" s="972"/>
      <c r="J19" s="307"/>
    </row>
    <row r="20" spans="2:10" x14ac:dyDescent="0.25">
      <c r="B20" s="319"/>
      <c r="C20" s="1676"/>
      <c r="D20" s="993"/>
      <c r="E20" s="994"/>
      <c r="F20" s="998"/>
      <c r="G20" s="994"/>
      <c r="H20" s="994"/>
      <c r="I20" s="972"/>
      <c r="J20" s="307"/>
    </row>
    <row r="21" spans="2:10" x14ac:dyDescent="0.25">
      <c r="B21" s="319"/>
      <c r="C21" s="1676"/>
      <c r="D21" s="993"/>
      <c r="E21" s="994"/>
      <c r="F21" s="998"/>
      <c r="G21" s="994"/>
      <c r="H21" s="994"/>
      <c r="I21" s="972"/>
      <c r="J21" s="307"/>
    </row>
    <row r="22" spans="2:10" x14ac:dyDescent="0.25">
      <c r="B22" s="319"/>
      <c r="C22" s="1676"/>
      <c r="D22" s="993"/>
      <c r="E22" s="994"/>
      <c r="F22" s="998"/>
      <c r="G22" s="994"/>
      <c r="H22" s="994"/>
      <c r="I22" s="972"/>
      <c r="J22" s="307"/>
    </row>
    <row r="23" spans="2:10" x14ac:dyDescent="0.25">
      <c r="B23" s="314"/>
      <c r="C23" s="1676"/>
      <c r="D23" s="993"/>
      <c r="E23" s="994"/>
      <c r="F23" s="998"/>
      <c r="G23" s="994"/>
      <c r="H23" s="994"/>
      <c r="I23" s="972"/>
      <c r="J23" s="307"/>
    </row>
    <row r="24" spans="2:10" ht="15.75" thickBot="1" x14ac:dyDescent="0.3">
      <c r="B24" s="314"/>
      <c r="C24" s="1677"/>
      <c r="D24" s="995"/>
      <c r="E24" s="996"/>
      <c r="F24" s="999"/>
      <c r="G24" s="996"/>
      <c r="H24" s="996"/>
      <c r="I24" s="974"/>
      <c r="J24" s="307"/>
    </row>
    <row r="25" spans="2:10" ht="9" customHeight="1" thickBot="1" x14ac:dyDescent="0.3">
      <c r="B25" s="320"/>
      <c r="C25" s="321"/>
      <c r="D25" s="321"/>
      <c r="E25" s="321"/>
      <c r="F25" s="321"/>
      <c r="G25" s="321"/>
      <c r="H25" s="321"/>
      <c r="I25" s="321"/>
      <c r="J25" s="322"/>
    </row>
  </sheetData>
  <sheetProtection algorithmName="SHA-512" hashValue="RFhatoW+t2xNLyljlYoBQJG7mI3zYCT57QQhuAWz1jFsr1/89HYyi5uLECBTQs4fYGRTAgbwG6fZBr6zGRyXPw==" saltValue="SwG81r0nwkyiNYMLMPdanQ==" spinCount="100000" sheet="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oddFoot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274"/>
  <sheetViews>
    <sheetView showGridLines="0" zoomScaleNormal="100" workbookViewId="0">
      <selection activeCell="K23" sqref="K23"/>
    </sheetView>
  </sheetViews>
  <sheetFormatPr defaultColWidth="8.85546875" defaultRowHeight="15" x14ac:dyDescent="0.25"/>
  <cols>
    <col min="1" max="2" width="1.7109375" style="2008" customWidth="1"/>
    <col min="3" max="3" width="4.42578125" style="2008" customWidth="1"/>
    <col min="4" max="4" width="2.140625" style="2008" customWidth="1"/>
    <col min="5" max="5" width="2.85546875" style="2008" customWidth="1"/>
    <col min="6" max="6" width="10.5703125" style="2008" customWidth="1"/>
    <col min="7" max="7" width="9.140625" style="2008" customWidth="1"/>
    <col min="8" max="8" width="10.85546875" style="2008" customWidth="1"/>
    <col min="9" max="9" width="12.28515625" style="2008" customWidth="1"/>
    <col min="10" max="10" width="9.85546875" style="2008" customWidth="1"/>
    <col min="11" max="11" width="10.28515625" style="2008" customWidth="1"/>
    <col min="12" max="12" width="15.42578125" style="2008" customWidth="1"/>
    <col min="13" max="13" width="12" style="2008" bestFit="1" customWidth="1"/>
    <col min="14" max="14" width="10.7109375" style="2008" customWidth="1"/>
    <col min="15" max="15" width="3.28515625" style="2008" customWidth="1"/>
    <col min="16" max="16" width="1.7109375" style="2008" customWidth="1"/>
    <col min="17" max="16384" width="8.85546875" style="2008"/>
  </cols>
  <sheetData>
    <row r="1" spans="2:15" x14ac:dyDescent="0.25">
      <c r="C1" s="1457"/>
      <c r="D1" s="1457"/>
      <c r="E1" s="1457"/>
      <c r="F1" s="1457"/>
      <c r="G1" s="1457"/>
      <c r="H1" s="1457"/>
      <c r="I1" s="1457"/>
      <c r="J1" s="1457"/>
      <c r="K1" s="1457"/>
      <c r="L1" s="1457"/>
      <c r="M1" s="1457"/>
      <c r="N1" s="1457"/>
      <c r="O1" s="1457"/>
    </row>
    <row r="2" spans="2:15" x14ac:dyDescent="0.25">
      <c r="C2" s="1457"/>
      <c r="D2" s="1457"/>
      <c r="E2" s="1457"/>
      <c r="F2" s="1457"/>
      <c r="G2" s="1457"/>
      <c r="H2" s="1457"/>
      <c r="I2" s="1457"/>
      <c r="J2" s="1457"/>
      <c r="K2" s="1457"/>
      <c r="L2" s="1457"/>
      <c r="M2" s="1457"/>
      <c r="N2" s="1457"/>
      <c r="O2" s="1457"/>
    </row>
    <row r="3" spans="2:15" x14ac:dyDescent="0.25">
      <c r="C3" s="2019"/>
      <c r="D3" s="2019"/>
      <c r="E3" s="2019"/>
      <c r="F3" s="2019"/>
      <c r="G3" s="2019"/>
      <c r="H3" s="2019"/>
      <c r="I3" s="2019"/>
      <c r="J3" s="2019"/>
      <c r="K3" s="2019"/>
      <c r="L3" s="2019"/>
      <c r="M3" s="2019"/>
      <c r="N3" s="2019"/>
    </row>
    <row r="4" spans="2:15" ht="4.5" customHeight="1" x14ac:dyDescent="0.25">
      <c r="C4" s="1457"/>
      <c r="D4" s="1457"/>
      <c r="E4" s="1457"/>
      <c r="F4" s="1457"/>
      <c r="G4" s="1457"/>
      <c r="H4" s="1457"/>
      <c r="I4" s="1457"/>
      <c r="J4" s="1457"/>
      <c r="K4" s="1457"/>
      <c r="L4" s="1457"/>
      <c r="M4" s="1457"/>
      <c r="N4" s="1457"/>
    </row>
    <row r="5" spans="2:15" x14ac:dyDescent="0.25">
      <c r="C5" s="1457"/>
      <c r="D5" s="1457"/>
      <c r="E5" s="1457"/>
      <c r="F5" s="1457"/>
      <c r="G5" s="1457"/>
      <c r="H5" s="1457"/>
      <c r="I5" s="1457"/>
      <c r="J5" s="1457"/>
      <c r="K5" s="1457"/>
      <c r="L5" s="1457"/>
      <c r="M5" s="1457"/>
      <c r="N5" s="1457"/>
    </row>
    <row r="6" spans="2:15" x14ac:dyDescent="0.25">
      <c r="C6" s="1457"/>
      <c r="D6" s="1457"/>
      <c r="E6" s="1457"/>
      <c r="F6" s="1457"/>
      <c r="G6" s="1457"/>
      <c r="H6" s="1457"/>
      <c r="I6" s="1457"/>
      <c r="J6" s="1457"/>
      <c r="K6" s="1457"/>
      <c r="L6" s="1457"/>
      <c r="M6" s="1457"/>
      <c r="N6" s="1457"/>
    </row>
    <row r="7" spans="2:15" x14ac:dyDescent="0.25">
      <c r="C7" s="1457"/>
      <c r="D7" s="1457"/>
      <c r="E7" s="1457"/>
      <c r="F7" s="1457"/>
      <c r="G7" s="1457"/>
      <c r="H7" s="1457"/>
      <c r="I7" s="1457"/>
      <c r="J7" s="1457"/>
      <c r="K7" s="1457"/>
      <c r="L7" s="1457"/>
      <c r="M7" s="1457"/>
      <c r="N7" s="1457"/>
    </row>
    <row r="8" spans="2:15" x14ac:dyDescent="0.25">
      <c r="C8" s="1457"/>
      <c r="D8" s="1457"/>
      <c r="E8" s="1457"/>
      <c r="F8" s="1457"/>
      <c r="G8" s="1457"/>
      <c r="H8" s="1457"/>
      <c r="I8" s="1457"/>
      <c r="J8" s="1457"/>
      <c r="K8" s="1457"/>
      <c r="L8" s="1457"/>
      <c r="M8" s="1457"/>
      <c r="N8" s="1457"/>
    </row>
    <row r="9" spans="2:15" x14ac:dyDescent="0.25">
      <c r="C9" s="1457"/>
      <c r="D9" s="1457"/>
      <c r="E9" s="1457"/>
      <c r="F9" s="1457"/>
      <c r="G9" s="1457"/>
      <c r="H9" s="1457"/>
      <c r="I9" s="1457"/>
      <c r="J9" s="1457"/>
      <c r="K9" s="1457"/>
      <c r="L9" s="1457"/>
      <c r="M9" s="1457"/>
      <c r="N9" s="1457"/>
    </row>
    <row r="10" spans="2:15" x14ac:dyDescent="0.25">
      <c r="C10" s="1457"/>
      <c r="D10" s="1457"/>
      <c r="E10" s="1457"/>
      <c r="F10" s="1457"/>
      <c r="G10" s="1457"/>
      <c r="H10" s="1457"/>
      <c r="I10" s="1457"/>
      <c r="J10" s="1457"/>
      <c r="K10" s="1457"/>
      <c r="L10" s="1457"/>
      <c r="M10" s="1457"/>
      <c r="N10" s="1457"/>
    </row>
    <row r="11" spans="2:15" x14ac:dyDescent="0.25">
      <c r="C11" s="1457"/>
      <c r="D11" s="1457"/>
      <c r="E11" s="1457"/>
      <c r="F11" s="1457"/>
      <c r="G11" s="1457"/>
      <c r="H11" s="1457"/>
      <c r="I11" s="1457"/>
      <c r="J11" s="1457"/>
      <c r="K11" s="1457"/>
      <c r="L11" s="1457"/>
      <c r="M11" s="1724"/>
      <c r="N11" s="1724"/>
    </row>
    <row r="12" spans="2:15" ht="9" customHeight="1" x14ac:dyDescent="0.25">
      <c r="C12" s="2115"/>
      <c r="D12" s="2115"/>
      <c r="E12" s="2115"/>
      <c r="F12" s="2115"/>
      <c r="G12" s="2115"/>
      <c r="H12" s="2115"/>
      <c r="I12" s="2115"/>
      <c r="J12" s="2115"/>
      <c r="K12" s="2115"/>
      <c r="L12" s="2115"/>
      <c r="M12" s="1724"/>
      <c r="N12" s="1724"/>
    </row>
    <row r="13" spans="2:15" ht="9" customHeight="1" thickBot="1" x14ac:dyDescent="0.3">
      <c r="C13" s="2115"/>
      <c r="D13" s="2115"/>
      <c r="E13" s="2115"/>
      <c r="F13" s="2115"/>
      <c r="G13" s="2115"/>
      <c r="H13" s="2115"/>
      <c r="I13" s="2115"/>
      <c r="J13" s="2115"/>
      <c r="K13" s="2115"/>
      <c r="L13" s="2115"/>
      <c r="M13" s="1724"/>
      <c r="N13" s="1724"/>
    </row>
    <row r="14" spans="2:15" ht="9" customHeight="1" thickBot="1" x14ac:dyDescent="0.3">
      <c r="B14" s="2169"/>
      <c r="C14" s="2170"/>
      <c r="D14" s="2170"/>
      <c r="E14" s="2170"/>
      <c r="F14" s="2170"/>
      <c r="G14" s="2170"/>
      <c r="H14" s="2170"/>
      <c r="I14" s="2170"/>
      <c r="J14" s="2170"/>
      <c r="K14" s="2170"/>
      <c r="L14" s="2170"/>
      <c r="M14" s="2170"/>
      <c r="N14" s="2170"/>
      <c r="O14" s="2171"/>
    </row>
    <row r="15" spans="2:15" ht="19.5" thickBot="1" x14ac:dyDescent="0.35">
      <c r="B15" s="2172"/>
      <c r="C15" s="2723" t="s">
        <v>1782</v>
      </c>
      <c r="D15" s="2724"/>
      <c r="E15" s="2724"/>
      <c r="F15" s="2724"/>
      <c r="G15" s="2724"/>
      <c r="H15" s="2724"/>
      <c r="I15" s="2724"/>
      <c r="J15" s="2724"/>
      <c r="K15" s="2724"/>
      <c r="L15" s="2724"/>
      <c r="M15" s="2724"/>
      <c r="N15" s="2725"/>
      <c r="O15" s="2173"/>
    </row>
    <row r="16" spans="2:15" x14ac:dyDescent="0.25">
      <c r="B16" s="2172"/>
      <c r="C16" s="1724"/>
      <c r="D16" s="1724"/>
      <c r="E16" s="1724"/>
      <c r="F16" s="1724"/>
      <c r="G16" s="1724"/>
      <c r="H16" s="1724"/>
      <c r="I16" s="1724"/>
      <c r="J16" s="1724"/>
      <c r="K16" s="1724"/>
      <c r="L16" s="1724"/>
      <c r="M16" s="1724"/>
      <c r="N16" s="1724"/>
      <c r="O16" s="2173"/>
    </row>
    <row r="17" spans="1:15" ht="15.75" thickBot="1" x14ac:dyDescent="0.3">
      <c r="B17" s="2172"/>
      <c r="C17" s="2726" t="str">
        <f>IF('1'!G5="","Enter Project Name on Form 1",(CONCATENATE("Project Name: ",'1'!G5)))</f>
        <v>Enter Project Name on Form 1</v>
      </c>
      <c r="D17" s="2726"/>
      <c r="E17" s="2726"/>
      <c r="F17" s="2726"/>
      <c r="G17" s="2726"/>
      <c r="H17" s="2726"/>
      <c r="I17" s="2726"/>
      <c r="J17" s="2726"/>
      <c r="K17" s="2726"/>
      <c r="L17" s="2726"/>
      <c r="M17" s="2726"/>
      <c r="N17" s="2726"/>
      <c r="O17" s="2173"/>
    </row>
    <row r="18" spans="1:15" x14ac:dyDescent="0.25">
      <c r="B18" s="2172"/>
      <c r="C18" s="1724"/>
      <c r="D18" s="1724"/>
      <c r="E18" s="1724"/>
      <c r="F18" s="1724"/>
      <c r="G18" s="1724"/>
      <c r="H18" s="1724"/>
      <c r="I18" s="1724"/>
      <c r="J18" s="1724"/>
      <c r="K18" s="1724"/>
      <c r="L18" s="1724"/>
      <c r="M18" s="1724"/>
      <c r="N18" s="1724"/>
      <c r="O18" s="2173"/>
    </row>
    <row r="19" spans="1:15" ht="15" customHeight="1" x14ac:dyDescent="0.25">
      <c r="B19" s="2172"/>
      <c r="M19" s="2693"/>
      <c r="N19" s="2695" t="s">
        <v>1139</v>
      </c>
      <c r="O19" s="2173"/>
    </row>
    <row r="20" spans="1:15" x14ac:dyDescent="0.25">
      <c r="B20" s="2172"/>
      <c r="F20" s="2020"/>
      <c r="M20" s="2694"/>
      <c r="N20" s="2695"/>
      <c r="O20" s="2173"/>
    </row>
    <row r="21" spans="1:15" x14ac:dyDescent="0.25">
      <c r="B21" s="2172"/>
      <c r="C21" s="2009">
        <v>1</v>
      </c>
      <c r="D21" s="2021" t="s">
        <v>1140</v>
      </c>
      <c r="E21" s="2021"/>
      <c r="F21" s="2022"/>
      <c r="G21" s="2023"/>
      <c r="H21" s="2023"/>
      <c r="I21" s="2023"/>
      <c r="J21" s="2023"/>
      <c r="K21" s="2023"/>
      <c r="L21" s="2023"/>
      <c r="M21" s="2024"/>
      <c r="N21" s="2076">
        <v>0</v>
      </c>
      <c r="O21" s="2173"/>
    </row>
    <row r="22" spans="1:15" ht="7.5" customHeight="1" x14ac:dyDescent="0.25">
      <c r="B22" s="2172"/>
      <c r="D22" s="2009"/>
      <c r="E22" s="2009"/>
      <c r="F22" s="2112"/>
      <c r="G22" s="2009"/>
      <c r="H22" s="2009"/>
      <c r="I22" s="2009"/>
      <c r="J22" s="2009"/>
      <c r="K22" s="2009"/>
      <c r="L22" s="2009"/>
      <c r="M22" s="2009"/>
      <c r="N22" s="2009"/>
      <c r="O22" s="2173"/>
    </row>
    <row r="23" spans="1:15" x14ac:dyDescent="0.25">
      <c r="B23" s="2172"/>
      <c r="D23" s="2009" t="s">
        <v>1141</v>
      </c>
      <c r="F23" s="2112"/>
      <c r="G23" s="2009"/>
      <c r="H23" s="2009"/>
      <c r="I23" s="2009"/>
      <c r="J23" s="2009"/>
      <c r="K23" s="2009"/>
      <c r="L23" s="2009"/>
      <c r="M23" s="2009"/>
      <c r="N23" s="2009"/>
      <c r="O23" s="2173"/>
    </row>
    <row r="24" spans="1:15" x14ac:dyDescent="0.25">
      <c r="B24" s="2172"/>
      <c r="D24" s="2009"/>
      <c r="E24" s="2025"/>
      <c r="F24" s="2020" t="s">
        <v>1142</v>
      </c>
      <c r="G24" s="2113"/>
      <c r="H24" s="2113"/>
      <c r="I24" s="2696" t="s">
        <v>1143</v>
      </c>
      <c r="J24" s="2697"/>
      <c r="K24" s="2697"/>
      <c r="L24" s="2697"/>
      <c r="M24" s="2697"/>
      <c r="N24" s="2698"/>
      <c r="O24" s="2173"/>
    </row>
    <row r="25" spans="1:15" x14ac:dyDescent="0.25">
      <c r="B25" s="2172"/>
      <c r="D25" s="2009"/>
      <c r="E25" s="2025"/>
      <c r="F25" s="2026" t="s">
        <v>1144</v>
      </c>
      <c r="G25" s="2113"/>
      <c r="H25" s="2113"/>
      <c r="I25" s="2696" t="s">
        <v>1145</v>
      </c>
      <c r="J25" s="2697"/>
      <c r="K25" s="2697"/>
      <c r="L25" s="2697"/>
      <c r="M25" s="2697"/>
      <c r="N25" s="2698"/>
      <c r="O25" s="2173"/>
    </row>
    <row r="26" spans="1:15" s="1457" customFormat="1" ht="4.5" customHeight="1" x14ac:dyDescent="0.25">
      <c r="A26" s="2115"/>
      <c r="B26" s="2174"/>
      <c r="C26" s="1724"/>
      <c r="D26" s="1724"/>
      <c r="E26" s="1724"/>
      <c r="F26" s="1724"/>
      <c r="G26" s="1724"/>
      <c r="H26" s="1724"/>
      <c r="I26" s="1724"/>
      <c r="J26" s="1724"/>
      <c r="K26" s="1724"/>
      <c r="L26" s="1724"/>
      <c r="M26" s="1724"/>
      <c r="N26" s="1724"/>
      <c r="O26" s="2175"/>
    </row>
    <row r="27" spans="1:15" x14ac:dyDescent="0.25">
      <c r="B27" s="2172"/>
      <c r="E27" s="2025"/>
      <c r="F27" s="2008" t="s">
        <v>1146</v>
      </c>
      <c r="I27" s="2702" t="s">
        <v>1147</v>
      </c>
      <c r="J27" s="2703"/>
      <c r="K27" s="2703"/>
      <c r="L27" s="2703"/>
      <c r="M27" s="2703"/>
      <c r="N27" s="2704"/>
      <c r="O27" s="2173"/>
    </row>
    <row r="28" spans="1:15" x14ac:dyDescent="0.25">
      <c r="B28" s="2172"/>
      <c r="D28" s="2009"/>
      <c r="E28" s="2025"/>
      <c r="F28" s="2026" t="s">
        <v>1144</v>
      </c>
      <c r="G28" s="2113"/>
      <c r="H28" s="2113"/>
      <c r="I28" s="2696" t="s">
        <v>1145</v>
      </c>
      <c r="J28" s="2697"/>
      <c r="K28" s="2697"/>
      <c r="L28" s="2697"/>
      <c r="M28" s="2697"/>
      <c r="N28" s="2698"/>
      <c r="O28" s="2173"/>
    </row>
    <row r="29" spans="1:15" x14ac:dyDescent="0.25">
      <c r="B29" s="2172"/>
      <c r="E29" s="2025"/>
      <c r="O29" s="2173"/>
    </row>
    <row r="30" spans="1:15" x14ac:dyDescent="0.25">
      <c r="B30" s="2172"/>
      <c r="F30" s="2027" t="s">
        <v>1671</v>
      </c>
      <c r="G30" s="2028"/>
      <c r="H30" s="2028"/>
      <c r="I30" s="2028"/>
      <c r="J30" s="2028"/>
      <c r="K30" s="2028"/>
      <c r="L30" s="2028"/>
      <c r="M30" s="2028"/>
      <c r="N30" s="2029"/>
      <c r="O30" s="2173"/>
    </row>
    <row r="31" spans="1:15" ht="28.5" customHeight="1" x14ac:dyDescent="0.25">
      <c r="B31" s="2172"/>
      <c r="F31" s="2030" t="s">
        <v>1149</v>
      </c>
      <c r="G31" s="2111"/>
      <c r="H31" s="2114" t="s">
        <v>1150</v>
      </c>
      <c r="I31" s="2111"/>
      <c r="J31" s="2114" t="s">
        <v>1151</v>
      </c>
      <c r="N31" s="2031"/>
      <c r="O31" s="2173"/>
    </row>
    <row r="32" spans="1:15" x14ac:dyDescent="0.25">
      <c r="B32" s="2172"/>
      <c r="F32" s="2095">
        <v>0</v>
      </c>
      <c r="G32" s="2032" t="s">
        <v>1152</v>
      </c>
      <c r="H32" s="2032" t="s">
        <v>1153</v>
      </c>
      <c r="I32" s="2032" t="s">
        <v>371</v>
      </c>
      <c r="J32" s="2096">
        <v>0</v>
      </c>
      <c r="N32" s="2031"/>
      <c r="O32" s="2173"/>
    </row>
    <row r="33" spans="2:15" x14ac:dyDescent="0.25">
      <c r="B33" s="2172"/>
      <c r="F33" s="2095">
        <v>0</v>
      </c>
      <c r="G33" s="2032" t="s">
        <v>1152</v>
      </c>
      <c r="H33" s="2032" t="s">
        <v>1154</v>
      </c>
      <c r="I33" s="2032" t="s">
        <v>371</v>
      </c>
      <c r="J33" s="2096">
        <v>0</v>
      </c>
      <c r="N33" s="2031"/>
      <c r="O33" s="2173"/>
    </row>
    <row r="34" spans="2:15" x14ac:dyDescent="0.25">
      <c r="B34" s="2172"/>
      <c r="F34" s="2095">
        <v>0</v>
      </c>
      <c r="G34" s="2034" t="s">
        <v>1152</v>
      </c>
      <c r="H34" s="2032" t="s">
        <v>1155</v>
      </c>
      <c r="I34" s="2032" t="s">
        <v>371</v>
      </c>
      <c r="J34" s="2096">
        <v>0</v>
      </c>
      <c r="N34" s="2031"/>
      <c r="O34" s="2173"/>
    </row>
    <row r="35" spans="2:15" ht="15.75" thickBot="1" x14ac:dyDescent="0.3">
      <c r="B35" s="2172"/>
      <c r="F35" s="2095">
        <v>0</v>
      </c>
      <c r="G35" s="2032" t="s">
        <v>1152</v>
      </c>
      <c r="H35" s="2032" t="s">
        <v>1156</v>
      </c>
      <c r="I35" s="2032" t="s">
        <v>371</v>
      </c>
      <c r="J35" s="2097">
        <v>0</v>
      </c>
      <c r="N35" s="2031"/>
      <c r="O35" s="2173"/>
    </row>
    <row r="36" spans="2:15" ht="16.5" thickTop="1" thickBot="1" x14ac:dyDescent="0.3">
      <c r="B36" s="2172"/>
      <c r="F36" s="2061"/>
      <c r="J36" s="2062">
        <f>SUM(J32:J35)</f>
        <v>0</v>
      </c>
      <c r="K36" s="2112" t="s">
        <v>1157</v>
      </c>
      <c r="N36" s="2031"/>
      <c r="O36" s="2173"/>
    </row>
    <row r="37" spans="2:15" ht="7.5" customHeight="1" thickTop="1" x14ac:dyDescent="0.25">
      <c r="B37" s="2172"/>
      <c r="F37" s="2035"/>
      <c r="G37" s="2022"/>
      <c r="H37" s="2022"/>
      <c r="I37" s="2022"/>
      <c r="J37" s="2033"/>
      <c r="K37" s="2021"/>
      <c r="L37" s="2022"/>
      <c r="M37" s="2022"/>
      <c r="N37" s="2036"/>
      <c r="O37" s="2173"/>
    </row>
    <row r="38" spans="2:15" x14ac:dyDescent="0.25">
      <c r="B38" s="2172"/>
      <c r="J38" s="2037"/>
      <c r="K38" s="2112"/>
      <c r="O38" s="2173"/>
    </row>
    <row r="39" spans="2:15" x14ac:dyDescent="0.25">
      <c r="B39" s="2172"/>
      <c r="C39" s="2009">
        <v>2</v>
      </c>
      <c r="D39" s="2021" t="s">
        <v>1158</v>
      </c>
      <c r="E39" s="2021"/>
      <c r="F39" s="2022"/>
      <c r="G39" s="2023"/>
      <c r="H39" s="2023"/>
      <c r="I39" s="2023"/>
      <c r="J39" s="2023"/>
      <c r="K39" s="2023"/>
      <c r="L39" s="2023"/>
      <c r="M39" s="2024"/>
      <c r="N39" s="2076">
        <v>0</v>
      </c>
      <c r="O39" s="2173"/>
    </row>
    <row r="40" spans="2:15" ht="7.5" customHeight="1" x14ac:dyDescent="0.25">
      <c r="B40" s="2172"/>
      <c r="D40" s="2009"/>
      <c r="E40" s="2009"/>
      <c r="F40" s="2112"/>
      <c r="G40" s="2009"/>
      <c r="H40" s="2009"/>
      <c r="I40" s="2009"/>
      <c r="J40" s="2009"/>
      <c r="K40" s="2009"/>
      <c r="L40" s="2009"/>
      <c r="M40" s="2010"/>
      <c r="N40" s="2009"/>
      <c r="O40" s="2173"/>
    </row>
    <row r="41" spans="2:15" x14ac:dyDescent="0.25">
      <c r="B41" s="2172"/>
      <c r="D41" s="2112" t="s">
        <v>1159</v>
      </c>
      <c r="E41" s="2112"/>
      <c r="O41" s="2173"/>
    </row>
    <row r="42" spans="2:15" ht="4.5" customHeight="1" x14ac:dyDescent="0.25">
      <c r="B42" s="2172"/>
      <c r="D42" s="2112"/>
      <c r="E42" s="2112"/>
      <c r="O42" s="2173"/>
    </row>
    <row r="43" spans="2:15" x14ac:dyDescent="0.25">
      <c r="B43" s="2172"/>
      <c r="F43" s="2705" t="s">
        <v>1160</v>
      </c>
      <c r="G43" s="2707"/>
      <c r="H43" s="2009"/>
      <c r="I43" s="2020"/>
      <c r="J43" s="2038"/>
      <c r="K43" s="2032"/>
      <c r="O43" s="2173"/>
    </row>
    <row r="44" spans="2:15" x14ac:dyDescent="0.25">
      <c r="B44" s="2172"/>
      <c r="F44" s="2039"/>
      <c r="G44" s="2039"/>
      <c r="H44" s="2009"/>
      <c r="I44" s="2020"/>
      <c r="J44" s="2038"/>
      <c r="K44" s="2032"/>
      <c r="O44" s="2173"/>
    </row>
    <row r="45" spans="2:15" x14ac:dyDescent="0.25">
      <c r="B45" s="2172"/>
      <c r="C45" s="2009">
        <v>3</v>
      </c>
      <c r="D45" s="2021" t="s">
        <v>1161</v>
      </c>
      <c r="E45" s="2021"/>
      <c r="F45" s="2022"/>
      <c r="G45" s="2023"/>
      <c r="H45" s="2023"/>
      <c r="I45" s="2023"/>
      <c r="J45" s="2023"/>
      <c r="K45" s="2023"/>
      <c r="L45" s="2023"/>
      <c r="M45" s="2024"/>
      <c r="N45" s="2076">
        <v>0</v>
      </c>
      <c r="O45" s="2173"/>
    </row>
    <row r="46" spans="2:15" ht="7.5" customHeight="1" x14ac:dyDescent="0.25">
      <c r="B46" s="2172"/>
      <c r="D46" s="2009"/>
      <c r="E46" s="2009"/>
      <c r="F46" s="2112"/>
      <c r="G46" s="2009"/>
      <c r="H46" s="2009"/>
      <c r="I46" s="2009"/>
      <c r="J46" s="2009"/>
      <c r="K46" s="2009"/>
      <c r="L46" s="2009"/>
      <c r="M46" s="2009"/>
      <c r="N46" s="2009"/>
      <c r="O46" s="2173"/>
    </row>
    <row r="47" spans="2:15" ht="15" customHeight="1" x14ac:dyDescent="0.25">
      <c r="B47" s="2172"/>
      <c r="D47" s="2708" t="s">
        <v>1686</v>
      </c>
      <c r="E47" s="2708"/>
      <c r="F47" s="2708"/>
      <c r="G47" s="2708"/>
      <c r="H47" s="2708"/>
      <c r="I47" s="2708"/>
      <c r="J47" s="2708"/>
      <c r="K47" s="2708"/>
      <c r="L47" s="2708"/>
      <c r="M47" s="2708"/>
      <c r="N47" s="2708"/>
      <c r="O47" s="2176"/>
    </row>
    <row r="48" spans="2:15" ht="4.5" customHeight="1" x14ac:dyDescent="0.25">
      <c r="B48" s="2172"/>
      <c r="F48" s="2111"/>
      <c r="G48" s="2111"/>
      <c r="H48" s="2111"/>
      <c r="I48" s="2111"/>
      <c r="J48" s="2112" t="s">
        <v>312</v>
      </c>
      <c r="K48" s="2111"/>
      <c r="L48" s="2111"/>
      <c r="M48" s="2111"/>
      <c r="N48" s="2111"/>
      <c r="O48" s="2176"/>
    </row>
    <row r="49" spans="2:15" ht="16.149999999999999" customHeight="1" x14ac:dyDescent="0.25">
      <c r="B49" s="2172"/>
      <c r="D49" s="2112" t="s">
        <v>1539</v>
      </c>
      <c r="E49" s="2112"/>
      <c r="G49" s="2020"/>
      <c r="H49" s="2020"/>
      <c r="I49" s="2020"/>
      <c r="J49" s="2020"/>
      <c r="K49" s="2020"/>
      <c r="O49" s="2173"/>
    </row>
    <row r="50" spans="2:15" ht="16.149999999999999" customHeight="1" x14ac:dyDescent="0.25">
      <c r="B50" s="2172"/>
      <c r="F50" s="2705" t="s">
        <v>1160</v>
      </c>
      <c r="G50" s="2706"/>
      <c r="H50" s="2706"/>
      <c r="I50" s="2706"/>
      <c r="J50" s="2706"/>
      <c r="K50" s="2706"/>
      <c r="L50" s="2706"/>
      <c r="M50" s="2706"/>
      <c r="N50" s="2707"/>
      <c r="O50" s="2173"/>
    </row>
    <row r="51" spans="2:15" ht="5.25" customHeight="1" x14ac:dyDescent="0.25">
      <c r="B51" s="2172"/>
      <c r="F51" s="2039"/>
      <c r="G51" s="2039"/>
      <c r="H51" s="2039"/>
      <c r="I51" s="2039"/>
      <c r="J51" s="2039"/>
      <c r="K51" s="2039"/>
      <c r="L51" s="2039"/>
      <c r="M51" s="2039"/>
      <c r="N51" s="2039"/>
      <c r="O51" s="2173"/>
    </row>
    <row r="52" spans="2:15" ht="16.149999999999999" customHeight="1" x14ac:dyDescent="0.25">
      <c r="B52" s="2172"/>
      <c r="G52" s="2039" t="s">
        <v>1162</v>
      </c>
      <c r="H52" s="2039"/>
      <c r="I52" s="2039"/>
      <c r="K52" s="2039"/>
      <c r="L52" s="2039"/>
      <c r="M52" s="2098">
        <v>0</v>
      </c>
      <c r="N52" s="2039" t="s">
        <v>1163</v>
      </c>
      <c r="O52" s="2173"/>
    </row>
    <row r="53" spans="2:15" ht="16.149999999999999" customHeight="1" x14ac:dyDescent="0.25">
      <c r="B53" s="2172"/>
      <c r="G53" s="2039" t="s">
        <v>1768</v>
      </c>
      <c r="H53" s="2039"/>
      <c r="I53" s="2039"/>
      <c r="K53" s="2039"/>
      <c r="L53" s="2039"/>
      <c r="M53" s="2098">
        <v>0</v>
      </c>
      <c r="N53" s="2039" t="s">
        <v>1163</v>
      </c>
      <c r="O53" s="2173"/>
    </row>
    <row r="54" spans="2:15" ht="16.149999999999999" customHeight="1" x14ac:dyDescent="0.25">
      <c r="B54" s="2172"/>
      <c r="G54" s="2039"/>
      <c r="H54" s="2039"/>
      <c r="I54" s="2039"/>
      <c r="K54" s="2039"/>
      <c r="L54" s="2039"/>
      <c r="M54" s="2003"/>
      <c r="N54" s="2039"/>
      <c r="O54" s="2173"/>
    </row>
    <row r="55" spans="2:15" ht="16.149999999999999" customHeight="1" x14ac:dyDescent="0.25">
      <c r="B55" s="2172"/>
      <c r="D55" s="2112" t="s">
        <v>1687</v>
      </c>
      <c r="E55" s="2112"/>
      <c r="G55" s="2020"/>
      <c r="H55" s="2020"/>
      <c r="I55" s="2020"/>
      <c r="J55" s="2020"/>
      <c r="K55" s="2020"/>
      <c r="O55" s="2173"/>
    </row>
    <row r="56" spans="2:15" ht="16.149999999999999" customHeight="1" x14ac:dyDescent="0.25">
      <c r="B56" s="2172"/>
      <c r="F56" s="2705" t="s">
        <v>1160</v>
      </c>
      <c r="G56" s="2706"/>
      <c r="H56" s="2706"/>
      <c r="I56" s="2706"/>
      <c r="J56" s="2706"/>
      <c r="K56" s="2706"/>
      <c r="L56" s="2706"/>
      <c r="M56" s="2706"/>
      <c r="N56" s="2707"/>
      <c r="O56" s="2173"/>
    </row>
    <row r="57" spans="2:15" ht="5.25" customHeight="1" x14ac:dyDescent="0.25">
      <c r="B57" s="2172"/>
      <c r="F57" s="2039"/>
      <c r="G57" s="2039"/>
      <c r="H57" s="2039"/>
      <c r="I57" s="2039"/>
      <c r="J57" s="2039"/>
      <c r="K57" s="2039"/>
      <c r="L57" s="2039"/>
      <c r="M57" s="2039"/>
      <c r="N57" s="2039"/>
      <c r="O57" s="2173"/>
    </row>
    <row r="58" spans="2:15" ht="16.149999999999999" customHeight="1" x14ac:dyDescent="0.25">
      <c r="B58" s="2172"/>
      <c r="G58" s="2039" t="s">
        <v>1688</v>
      </c>
      <c r="H58" s="2039"/>
      <c r="I58" s="2039"/>
      <c r="K58" s="2039"/>
      <c r="L58" s="2039"/>
      <c r="M58" s="2098">
        <v>0</v>
      </c>
      <c r="N58" s="2039" t="s">
        <v>1163</v>
      </c>
      <c r="O58" s="2173"/>
    </row>
    <row r="59" spans="2:15" ht="16.149999999999999" customHeight="1" x14ac:dyDescent="0.25">
      <c r="B59" s="2172"/>
      <c r="F59" s="2039"/>
      <c r="G59" s="2039"/>
      <c r="H59" s="2039"/>
      <c r="I59" s="2039"/>
      <c r="J59" s="2039"/>
      <c r="K59" s="2039"/>
      <c r="L59" s="2039"/>
      <c r="M59" s="2039"/>
      <c r="N59" s="2039"/>
      <c r="O59" s="2173"/>
    </row>
    <row r="60" spans="2:15" ht="16.149999999999999" customHeight="1" x14ac:dyDescent="0.25">
      <c r="B60" s="2172"/>
      <c r="D60" s="2112" t="s">
        <v>1689</v>
      </c>
      <c r="E60" s="2112"/>
      <c r="G60" s="2020"/>
      <c r="H60" s="2020"/>
      <c r="I60" s="2020"/>
      <c r="J60" s="2020"/>
      <c r="K60" s="2020"/>
      <c r="O60" s="2173"/>
    </row>
    <row r="61" spans="2:15" ht="16.149999999999999" customHeight="1" x14ac:dyDescent="0.25">
      <c r="B61" s="2172"/>
      <c r="F61" s="2705" t="s">
        <v>1160</v>
      </c>
      <c r="G61" s="2706"/>
      <c r="H61" s="2706"/>
      <c r="I61" s="2706"/>
      <c r="J61" s="2706"/>
      <c r="K61" s="2706"/>
      <c r="L61" s="2706"/>
      <c r="M61" s="2706"/>
      <c r="N61" s="2707"/>
      <c r="O61" s="2173"/>
    </row>
    <row r="62" spans="2:15" ht="4.5" customHeight="1" x14ac:dyDescent="0.25">
      <c r="B62" s="2172"/>
      <c r="F62" s="2040"/>
      <c r="G62" s="2041"/>
      <c r="H62" s="2041"/>
      <c r="I62" s="2041"/>
      <c r="J62" s="2041"/>
      <c r="K62" s="2041"/>
      <c r="L62" s="2040"/>
      <c r="M62" s="2040"/>
      <c r="N62" s="2040"/>
      <c r="O62" s="2173"/>
    </row>
    <row r="63" spans="2:15" ht="16.149999999999999" customHeight="1" x14ac:dyDescent="0.25">
      <c r="B63" s="2172"/>
      <c r="F63" s="2705" t="s">
        <v>1160</v>
      </c>
      <c r="G63" s="2706"/>
      <c r="H63" s="2706"/>
      <c r="I63" s="2706"/>
      <c r="J63" s="2706"/>
      <c r="K63" s="2706"/>
      <c r="L63" s="2706"/>
      <c r="M63" s="2706"/>
      <c r="N63" s="2707"/>
      <c r="O63" s="2173"/>
    </row>
    <row r="64" spans="2:15" ht="7.9" customHeight="1" x14ac:dyDescent="0.25">
      <c r="B64" s="2172"/>
      <c r="F64" s="2039"/>
      <c r="G64" s="2039"/>
      <c r="H64" s="2039"/>
      <c r="I64" s="2039"/>
      <c r="J64" s="2039"/>
      <c r="K64" s="2039"/>
      <c r="L64" s="2039"/>
      <c r="M64" s="2039"/>
      <c r="N64" s="2039"/>
      <c r="O64" s="2173"/>
    </row>
    <row r="65" spans="1:15" ht="16.149999999999999" customHeight="1" x14ac:dyDescent="0.25">
      <c r="B65" s="2172"/>
      <c r="F65" s="2039"/>
      <c r="G65" s="2039" t="s">
        <v>1164</v>
      </c>
      <c r="H65" s="2039"/>
      <c r="I65" s="2039"/>
      <c r="J65" s="2039"/>
      <c r="K65" s="2039"/>
      <c r="L65" s="2039"/>
      <c r="M65" s="2098">
        <v>0</v>
      </c>
      <c r="N65" s="2039" t="s">
        <v>1163</v>
      </c>
      <c r="O65" s="2173"/>
    </row>
    <row r="66" spans="1:15" ht="16.149999999999999" customHeight="1" x14ac:dyDescent="0.25">
      <c r="B66" s="2172"/>
      <c r="F66" s="2039"/>
      <c r="G66" s="2020" t="s">
        <v>1165</v>
      </c>
      <c r="I66" s="2020"/>
      <c r="J66" s="2020"/>
      <c r="K66" s="2020"/>
      <c r="L66" s="2020"/>
      <c r="M66" s="2098">
        <v>0</v>
      </c>
      <c r="N66" s="2039" t="s">
        <v>1163</v>
      </c>
      <c r="O66" s="2173"/>
    </row>
    <row r="67" spans="1:15" ht="16.149999999999999" customHeight="1" x14ac:dyDescent="0.25">
      <c r="B67" s="2172"/>
      <c r="F67" s="2039"/>
      <c r="G67" s="2039" t="s">
        <v>1166</v>
      </c>
      <c r="I67" s="2039"/>
      <c r="J67" s="2039"/>
      <c r="K67" s="2039"/>
      <c r="L67" s="2039"/>
      <c r="M67" s="2098">
        <v>0</v>
      </c>
      <c r="N67" s="2039" t="s">
        <v>1163</v>
      </c>
      <c r="O67" s="2173"/>
    </row>
    <row r="68" spans="1:15" ht="16.149999999999999" customHeight="1" x14ac:dyDescent="0.25">
      <c r="B68" s="2172"/>
      <c r="F68" s="2039"/>
      <c r="G68" s="2039" t="s">
        <v>1168</v>
      </c>
      <c r="I68" s="2039"/>
      <c r="J68" s="2039"/>
      <c r="K68" s="2039"/>
      <c r="L68" s="2039"/>
      <c r="M68" s="2098">
        <v>0</v>
      </c>
      <c r="N68" s="2039" t="s">
        <v>1163</v>
      </c>
      <c r="O68" s="2173"/>
    </row>
    <row r="69" spans="1:15" ht="16.149999999999999" customHeight="1" x14ac:dyDescent="0.25">
      <c r="B69" s="2172"/>
      <c r="F69" s="2039"/>
      <c r="G69" s="2039" t="s">
        <v>1167</v>
      </c>
      <c r="I69" s="2039"/>
      <c r="J69" s="2039"/>
      <c r="K69" s="2039"/>
      <c r="L69" s="2039"/>
      <c r="M69" s="2098">
        <v>0</v>
      </c>
      <c r="N69" s="2039" t="s">
        <v>1163</v>
      </c>
      <c r="O69" s="2173"/>
    </row>
    <row r="70" spans="1:15" ht="16.149999999999999" customHeight="1" x14ac:dyDescent="0.25">
      <c r="B70" s="2172"/>
      <c r="F70" s="2039"/>
      <c r="G70" s="2039"/>
      <c r="I70" s="2039"/>
      <c r="J70" s="2039"/>
      <c r="K70" s="2039"/>
      <c r="L70" s="2039"/>
      <c r="M70" s="2003"/>
      <c r="N70" s="2039"/>
      <c r="O70" s="2173"/>
    </row>
    <row r="71" spans="1:15" x14ac:dyDescent="0.25">
      <c r="B71" s="2172"/>
      <c r="C71" s="2009">
        <v>4</v>
      </c>
      <c r="D71" s="2021" t="s">
        <v>1672</v>
      </c>
      <c r="E71" s="2021"/>
      <c r="F71" s="2022"/>
      <c r="G71" s="2023"/>
      <c r="H71" s="2023"/>
      <c r="I71" s="2023"/>
      <c r="J71" s="2023"/>
      <c r="K71" s="2023"/>
      <c r="L71" s="2023"/>
      <c r="M71" s="2024"/>
      <c r="N71" s="2076">
        <v>0</v>
      </c>
      <c r="O71" s="2173"/>
    </row>
    <row r="72" spans="1:15" ht="7.5" customHeight="1" x14ac:dyDescent="0.25">
      <c r="B72" s="2172"/>
      <c r="D72" s="2009"/>
      <c r="E72" s="2009"/>
      <c r="F72" s="2112"/>
      <c r="G72" s="2009"/>
      <c r="H72" s="2009"/>
      <c r="I72" s="2009"/>
      <c r="J72" s="2009"/>
      <c r="K72" s="2009"/>
      <c r="L72" s="2009"/>
      <c r="M72" s="2010"/>
      <c r="N72" s="2009"/>
      <c r="O72" s="2173"/>
    </row>
    <row r="73" spans="1:15" ht="19.149999999999999" customHeight="1" x14ac:dyDescent="0.25">
      <c r="B73" s="2172"/>
      <c r="D73" s="2708" t="s">
        <v>1673</v>
      </c>
      <c r="E73" s="2708"/>
      <c r="F73" s="2708"/>
      <c r="G73" s="2708"/>
      <c r="H73" s="2708"/>
      <c r="I73" s="2708"/>
      <c r="J73" s="2708"/>
      <c r="K73" s="2708"/>
      <c r="L73" s="2708"/>
      <c r="M73" s="2708"/>
      <c r="N73" s="2708"/>
      <c r="O73" s="2173"/>
    </row>
    <row r="74" spans="1:15" ht="4.5" customHeight="1" x14ac:dyDescent="0.25">
      <c r="B74" s="2172"/>
      <c r="D74" s="2112"/>
      <c r="E74" s="2112"/>
      <c r="O74" s="2173"/>
    </row>
    <row r="75" spans="1:15" x14ac:dyDescent="0.25">
      <c r="B75" s="2172"/>
      <c r="F75" s="2008" t="s">
        <v>1742</v>
      </c>
      <c r="I75" s="2039"/>
      <c r="J75" s="2039"/>
      <c r="K75" s="2039"/>
      <c r="L75" s="2709">
        <f>'6A'!K120</f>
        <v>0</v>
      </c>
      <c r="M75" s="2710"/>
      <c r="O75" s="2173"/>
    </row>
    <row r="76" spans="1:15" s="1457" customFormat="1" ht="4.5" customHeight="1" x14ac:dyDescent="0.25">
      <c r="A76" s="2115"/>
      <c r="B76" s="2174"/>
      <c r="C76" s="1724"/>
      <c r="D76" s="1724"/>
      <c r="E76" s="1724"/>
      <c r="F76" s="1724"/>
      <c r="G76" s="1724"/>
      <c r="H76" s="1724"/>
      <c r="I76" s="1724"/>
      <c r="J76" s="1724"/>
      <c r="K76" s="1724"/>
      <c r="L76" s="1724"/>
      <c r="M76" s="1724"/>
      <c r="N76" s="1724"/>
      <c r="O76" s="2175"/>
    </row>
    <row r="77" spans="1:15" x14ac:dyDescent="0.25">
      <c r="B77" s="2172"/>
      <c r="F77" s="2008" t="s">
        <v>1171</v>
      </c>
      <c r="H77" s="2705" t="s">
        <v>1674</v>
      </c>
      <c r="I77" s="2706"/>
      <c r="J77" s="2706"/>
      <c r="K77" s="2706"/>
      <c r="L77" s="2706"/>
      <c r="M77" s="2707"/>
      <c r="O77" s="2173"/>
    </row>
    <row r="78" spans="1:15" x14ac:dyDescent="0.25">
      <c r="B78" s="2172"/>
      <c r="F78" s="2008" t="s">
        <v>1172</v>
      </c>
      <c r="H78" s="2699">
        <v>0</v>
      </c>
      <c r="I78" s="2700"/>
      <c r="J78" s="2700"/>
      <c r="K78" s="2700"/>
      <c r="L78" s="2700"/>
      <c r="M78" s="2701"/>
      <c r="O78" s="2173"/>
    </row>
    <row r="79" spans="1:15" ht="4.5" customHeight="1" x14ac:dyDescent="0.25">
      <c r="B79" s="2172"/>
      <c r="O79" s="2173"/>
    </row>
    <row r="80" spans="1:15" x14ac:dyDescent="0.25">
      <c r="B80" s="2172"/>
      <c r="F80" s="2008" t="s">
        <v>1171</v>
      </c>
      <c r="H80" s="2705" t="s">
        <v>1674</v>
      </c>
      <c r="I80" s="2706"/>
      <c r="J80" s="2706"/>
      <c r="K80" s="2706"/>
      <c r="L80" s="2706"/>
      <c r="M80" s="2707"/>
      <c r="O80" s="2173"/>
    </row>
    <row r="81" spans="1:15" x14ac:dyDescent="0.25">
      <c r="B81" s="2172"/>
      <c r="F81" s="2008" t="s">
        <v>1172</v>
      </c>
      <c r="H81" s="2699">
        <v>0</v>
      </c>
      <c r="I81" s="2700"/>
      <c r="J81" s="2700"/>
      <c r="K81" s="2700"/>
      <c r="L81" s="2700"/>
      <c r="M81" s="2701"/>
      <c r="O81" s="2173"/>
    </row>
    <row r="82" spans="1:15" s="1457" customFormat="1" ht="4.5" customHeight="1" x14ac:dyDescent="0.25">
      <c r="A82" s="2115"/>
      <c r="B82" s="2174"/>
      <c r="C82" s="1724"/>
      <c r="D82" s="1724"/>
      <c r="E82" s="1724"/>
      <c r="F82" s="1724"/>
      <c r="G82" s="1724"/>
      <c r="H82" s="1724"/>
      <c r="I82" s="1724"/>
      <c r="J82" s="1724"/>
      <c r="K82" s="1724"/>
      <c r="L82" s="1724"/>
      <c r="M82" s="1724"/>
      <c r="N82" s="1724"/>
      <c r="O82" s="2175"/>
    </row>
    <row r="83" spans="1:15" x14ac:dyDescent="0.25">
      <c r="B83" s="2172"/>
      <c r="F83" s="2008" t="s">
        <v>1171</v>
      </c>
      <c r="H83" s="2705" t="s">
        <v>1674</v>
      </c>
      <c r="I83" s="2706"/>
      <c r="J83" s="2706"/>
      <c r="K83" s="2706"/>
      <c r="L83" s="2706"/>
      <c r="M83" s="2707"/>
      <c r="O83" s="2173"/>
    </row>
    <row r="84" spans="1:15" x14ac:dyDescent="0.25">
      <c r="B84" s="2172"/>
      <c r="F84" s="2008" t="s">
        <v>1172</v>
      </c>
      <c r="H84" s="2699">
        <v>0</v>
      </c>
      <c r="I84" s="2700"/>
      <c r="J84" s="2700"/>
      <c r="K84" s="2700"/>
      <c r="L84" s="2700"/>
      <c r="M84" s="2701"/>
      <c r="O84" s="2173"/>
    </row>
    <row r="85" spans="1:15" ht="4.5" customHeight="1" x14ac:dyDescent="0.25">
      <c r="B85" s="2172"/>
      <c r="O85" s="2173"/>
    </row>
    <row r="86" spans="1:15" x14ac:dyDescent="0.25">
      <c r="B86" s="2172"/>
      <c r="F86" s="2008" t="s">
        <v>1171</v>
      </c>
      <c r="H86" s="2705" t="s">
        <v>1674</v>
      </c>
      <c r="I86" s="2706"/>
      <c r="J86" s="2706"/>
      <c r="K86" s="2706"/>
      <c r="L86" s="2706"/>
      <c r="M86" s="2707"/>
      <c r="O86" s="2173"/>
    </row>
    <row r="87" spans="1:15" x14ac:dyDescent="0.25">
      <c r="B87" s="2172"/>
      <c r="F87" s="2008" t="s">
        <v>1172</v>
      </c>
      <c r="H87" s="2699">
        <v>0</v>
      </c>
      <c r="I87" s="2700"/>
      <c r="J87" s="2700"/>
      <c r="K87" s="2700"/>
      <c r="L87" s="2700"/>
      <c r="M87" s="2701"/>
      <c r="O87" s="2173"/>
    </row>
    <row r="88" spans="1:15" s="1457" customFormat="1" ht="4.5" customHeight="1" x14ac:dyDescent="0.25">
      <c r="A88" s="2115"/>
      <c r="B88" s="2174"/>
      <c r="C88" s="1724"/>
      <c r="D88" s="1724"/>
      <c r="E88" s="1724"/>
      <c r="F88" s="1724"/>
      <c r="G88" s="1724"/>
      <c r="H88" s="1724"/>
      <c r="I88" s="1724"/>
      <c r="J88" s="1724"/>
      <c r="K88" s="1724"/>
      <c r="L88" s="1724"/>
      <c r="M88" s="1724"/>
      <c r="N88" s="1724"/>
      <c r="O88" s="2175"/>
    </row>
    <row r="89" spans="1:15" x14ac:dyDescent="0.25">
      <c r="B89" s="2172"/>
      <c r="F89" s="2008" t="s">
        <v>1171</v>
      </c>
      <c r="H89" s="2705" t="s">
        <v>1674</v>
      </c>
      <c r="I89" s="2706"/>
      <c r="J89" s="2706"/>
      <c r="K89" s="2706"/>
      <c r="L89" s="2706"/>
      <c r="M89" s="2707"/>
      <c r="O89" s="2173"/>
    </row>
    <row r="90" spans="1:15" x14ac:dyDescent="0.25">
      <c r="B90" s="2172"/>
      <c r="F90" s="2008" t="s">
        <v>1172</v>
      </c>
      <c r="H90" s="2699">
        <v>0</v>
      </c>
      <c r="I90" s="2700"/>
      <c r="J90" s="2700"/>
      <c r="K90" s="2700"/>
      <c r="L90" s="2700"/>
      <c r="M90" s="2701"/>
      <c r="O90" s="2173"/>
    </row>
    <row r="91" spans="1:15" ht="4.5" customHeight="1" x14ac:dyDescent="0.25">
      <c r="B91" s="2172"/>
      <c r="O91" s="2173"/>
    </row>
    <row r="92" spans="1:15" x14ac:dyDescent="0.25">
      <c r="B92" s="2172"/>
      <c r="F92" s="2008" t="s">
        <v>1171</v>
      </c>
      <c r="H92" s="2705" t="s">
        <v>1674</v>
      </c>
      <c r="I92" s="2706"/>
      <c r="J92" s="2706"/>
      <c r="K92" s="2706"/>
      <c r="L92" s="2706"/>
      <c r="M92" s="2707"/>
      <c r="O92" s="2173"/>
    </row>
    <row r="93" spans="1:15" x14ac:dyDescent="0.25">
      <c r="B93" s="2172"/>
      <c r="F93" s="2008" t="s">
        <v>1172</v>
      </c>
      <c r="H93" s="2699">
        <v>0</v>
      </c>
      <c r="I93" s="2700"/>
      <c r="J93" s="2700"/>
      <c r="K93" s="2700"/>
      <c r="L93" s="2700"/>
      <c r="M93" s="2701"/>
      <c r="O93" s="2173"/>
    </row>
    <row r="94" spans="1:15" x14ac:dyDescent="0.25">
      <c r="B94" s="2172"/>
      <c r="H94" s="2039"/>
      <c r="I94" s="2039"/>
      <c r="J94" s="2039"/>
      <c r="K94" s="2039"/>
      <c r="L94" s="2039"/>
      <c r="M94" s="2039"/>
      <c r="O94" s="2173"/>
    </row>
    <row r="95" spans="1:15" x14ac:dyDescent="0.25">
      <c r="B95" s="2172"/>
      <c r="F95" s="2008" t="s">
        <v>1675</v>
      </c>
      <c r="H95" s="2039"/>
      <c r="I95" s="2039"/>
      <c r="J95" s="2039"/>
      <c r="K95" s="2039"/>
      <c r="L95" s="2004">
        <f>H78+H81+H84+H87+H90+H93</f>
        <v>0</v>
      </c>
      <c r="M95" s="2039"/>
      <c r="O95" s="2173"/>
    </row>
    <row r="96" spans="1:15" ht="4.9000000000000004" customHeight="1" x14ac:dyDescent="0.25">
      <c r="B96" s="2172"/>
      <c r="F96" s="2039"/>
      <c r="G96" s="2039"/>
      <c r="I96" s="2039"/>
      <c r="J96" s="2039"/>
      <c r="K96" s="2039"/>
      <c r="L96" s="2039"/>
      <c r="M96" s="2003"/>
      <c r="N96" s="2039"/>
      <c r="O96" s="2173"/>
    </row>
    <row r="97" spans="2:15" x14ac:dyDescent="0.25">
      <c r="B97" s="2172"/>
      <c r="F97" s="2008" t="s">
        <v>1676</v>
      </c>
      <c r="H97" s="2039"/>
      <c r="I97" s="2039"/>
      <c r="J97" s="2039"/>
      <c r="K97" s="2039"/>
      <c r="L97" s="2005">
        <f>IFERROR((L95/L75),0)</f>
        <v>0</v>
      </c>
      <c r="M97" s="2039"/>
      <c r="O97" s="2173"/>
    </row>
    <row r="98" spans="2:15" ht="4.9000000000000004" customHeight="1" x14ac:dyDescent="0.25">
      <c r="B98" s="2172"/>
      <c r="F98" s="2039"/>
      <c r="G98" s="2039"/>
      <c r="I98" s="2039"/>
      <c r="J98" s="2039"/>
      <c r="K98" s="2039"/>
      <c r="L98" s="2039"/>
      <c r="M98" s="2003"/>
      <c r="N98" s="2039"/>
      <c r="O98" s="2173"/>
    </row>
    <row r="99" spans="2:15" x14ac:dyDescent="0.25">
      <c r="B99" s="2172"/>
      <c r="F99" s="2008" t="s">
        <v>1677</v>
      </c>
      <c r="H99" s="2705" t="s">
        <v>1624</v>
      </c>
      <c r="I99" s="2706"/>
      <c r="J99" s="2706"/>
      <c r="K99" s="2706"/>
      <c r="L99" s="2706"/>
      <c r="M99" s="2707"/>
      <c r="O99" s="2173"/>
    </row>
    <row r="100" spans="2:15" x14ac:dyDescent="0.25">
      <c r="B100" s="2172"/>
      <c r="H100" s="2039"/>
      <c r="I100" s="2039"/>
      <c r="J100" s="2039"/>
      <c r="K100" s="2039"/>
      <c r="L100" s="2039"/>
      <c r="M100" s="2039"/>
      <c r="O100" s="2173"/>
    </row>
    <row r="101" spans="2:15" x14ac:dyDescent="0.25">
      <c r="B101" s="2172"/>
      <c r="F101" s="2042" t="s">
        <v>1757</v>
      </c>
      <c r="H101" s="2039"/>
      <c r="I101" s="2039"/>
      <c r="J101" s="2039"/>
      <c r="K101" s="2039"/>
      <c r="L101" s="2039"/>
      <c r="M101" s="2039"/>
      <c r="O101" s="2173"/>
    </row>
    <row r="102" spans="2:15" x14ac:dyDescent="0.25">
      <c r="B102" s="2172"/>
      <c r="F102" s="2043"/>
      <c r="H102" s="2039"/>
      <c r="I102" s="2039"/>
      <c r="J102" s="2039"/>
      <c r="K102" s="2039"/>
      <c r="L102" s="2039"/>
      <c r="M102" s="2039"/>
      <c r="O102" s="2173"/>
    </row>
    <row r="103" spans="2:15" x14ac:dyDescent="0.25">
      <c r="B103" s="2172"/>
      <c r="H103" s="2039"/>
      <c r="I103" s="2039"/>
      <c r="J103" s="2039"/>
      <c r="K103" s="2039"/>
      <c r="L103" s="2039"/>
      <c r="M103" s="2039"/>
      <c r="O103" s="2173"/>
    </row>
    <row r="104" spans="2:15" x14ac:dyDescent="0.25">
      <c r="B104" s="2172"/>
      <c r="C104" s="2009">
        <v>5</v>
      </c>
      <c r="D104" s="2021" t="s">
        <v>1678</v>
      </c>
      <c r="E104" s="2021"/>
      <c r="F104" s="2022"/>
      <c r="G104" s="2023"/>
      <c r="H104" s="2023"/>
      <c r="I104" s="2023"/>
      <c r="J104" s="2023"/>
      <c r="K104" s="2023"/>
      <c r="L104" s="2023"/>
      <c r="M104" s="2024"/>
      <c r="N104" s="2076">
        <v>0</v>
      </c>
      <c r="O104" s="2173"/>
    </row>
    <row r="105" spans="2:15" ht="7.5" customHeight="1" x14ac:dyDescent="0.25">
      <c r="B105" s="2172"/>
      <c r="D105" s="2009"/>
      <c r="E105" s="2009"/>
      <c r="F105" s="2112"/>
      <c r="G105" s="2009"/>
      <c r="H105" s="2009"/>
      <c r="I105" s="2009"/>
      <c r="J105" s="2009"/>
      <c r="K105" s="2009"/>
      <c r="L105" s="2009"/>
      <c r="M105" s="2010"/>
      <c r="N105" s="2009"/>
      <c r="O105" s="2173"/>
    </row>
    <row r="106" spans="2:15" ht="26.25" customHeight="1" x14ac:dyDescent="0.25">
      <c r="B106" s="2172"/>
      <c r="D106" s="2708" t="s">
        <v>1679</v>
      </c>
      <c r="E106" s="2708"/>
      <c r="F106" s="2708"/>
      <c r="G106" s="2708"/>
      <c r="H106" s="2708"/>
      <c r="I106" s="2708"/>
      <c r="J106" s="2708"/>
      <c r="K106" s="2708"/>
      <c r="L106" s="2708"/>
      <c r="M106" s="2708"/>
      <c r="N106" s="2708"/>
      <c r="O106" s="2173"/>
    </row>
    <row r="107" spans="2:15" ht="6.75" customHeight="1" x14ac:dyDescent="0.25">
      <c r="B107" s="2172"/>
      <c r="D107" s="2112"/>
      <c r="E107" s="2112"/>
      <c r="O107" s="2173"/>
    </row>
    <row r="108" spans="2:15" x14ac:dyDescent="0.25">
      <c r="B108" s="2172"/>
      <c r="F108" s="2008" t="s">
        <v>1675</v>
      </c>
      <c r="I108" s="2044"/>
      <c r="K108" s="2044"/>
      <c r="L108" s="2006">
        <f>L95</f>
        <v>0</v>
      </c>
      <c r="O108" s="2173"/>
    </row>
    <row r="109" spans="2:15" x14ac:dyDescent="0.25">
      <c r="B109" s="2172"/>
      <c r="F109" s="2008" t="s">
        <v>1680</v>
      </c>
      <c r="I109" s="2044"/>
      <c r="K109" s="2044"/>
      <c r="L109" s="2099">
        <v>0</v>
      </c>
      <c r="O109" s="2173"/>
    </row>
    <row r="110" spans="2:15" x14ac:dyDescent="0.25">
      <c r="B110" s="2172"/>
      <c r="F110" s="2008" t="s">
        <v>1738</v>
      </c>
      <c r="I110" s="2044"/>
      <c r="K110" s="2044"/>
      <c r="L110" s="2005">
        <f>IFERROR((L109/L108),0)</f>
        <v>0</v>
      </c>
      <c r="O110" s="2173"/>
    </row>
    <row r="111" spans="2:15" x14ac:dyDescent="0.25">
      <c r="B111" s="2172"/>
      <c r="I111" s="2044"/>
      <c r="K111" s="2044"/>
      <c r="L111" s="2045"/>
      <c r="O111" s="2173"/>
    </row>
    <row r="112" spans="2:15" x14ac:dyDescent="0.25">
      <c r="B112" s="2172"/>
      <c r="C112" s="2009">
        <v>6</v>
      </c>
      <c r="D112" s="2021" t="s">
        <v>1174</v>
      </c>
      <c r="E112" s="2021"/>
      <c r="F112" s="2022"/>
      <c r="G112" s="2023"/>
      <c r="H112" s="2023"/>
      <c r="I112" s="2023"/>
      <c r="J112" s="2023"/>
      <c r="K112" s="2023"/>
      <c r="L112" s="2023"/>
      <c r="M112" s="2024"/>
      <c r="N112" s="2076">
        <v>0</v>
      </c>
      <c r="O112" s="2173"/>
    </row>
    <row r="113" spans="2:15" ht="7.5" customHeight="1" x14ac:dyDescent="0.25">
      <c r="B113" s="2172"/>
      <c r="D113" s="2009"/>
      <c r="E113" s="2009"/>
      <c r="F113" s="2112"/>
      <c r="G113" s="2009"/>
      <c r="H113" s="2009"/>
      <c r="I113" s="2009"/>
      <c r="J113" s="2009"/>
      <c r="K113" s="2009"/>
      <c r="L113" s="2009"/>
      <c r="M113" s="2010"/>
      <c r="N113" s="2009"/>
      <c r="O113" s="2173"/>
    </row>
    <row r="114" spans="2:15" x14ac:dyDescent="0.25">
      <c r="B114" s="2172"/>
      <c r="E114" s="2043" t="s">
        <v>1175</v>
      </c>
      <c r="O114" s="2173"/>
    </row>
    <row r="115" spans="2:15" ht="6.75" customHeight="1" x14ac:dyDescent="0.25">
      <c r="B115" s="2172"/>
      <c r="D115" s="2112"/>
      <c r="E115" s="2112"/>
      <c r="O115" s="2173"/>
    </row>
    <row r="116" spans="2:15" x14ac:dyDescent="0.25">
      <c r="B116" s="2172"/>
      <c r="F116" s="2008" t="s">
        <v>1176</v>
      </c>
      <c r="J116" s="2712" t="s">
        <v>1177</v>
      </c>
      <c r="K116" s="2713"/>
      <c r="L116" s="2713"/>
      <c r="M116" s="2714"/>
      <c r="O116" s="2173"/>
    </row>
    <row r="117" spans="2:15" x14ac:dyDescent="0.25">
      <c r="B117" s="2172"/>
      <c r="F117" s="2008" t="s">
        <v>1178</v>
      </c>
      <c r="I117" s="2044"/>
      <c r="J117" s="2715" t="s">
        <v>1179</v>
      </c>
      <c r="K117" s="2716"/>
      <c r="L117" s="2716"/>
      <c r="M117" s="2717"/>
      <c r="O117" s="2173"/>
    </row>
    <row r="118" spans="2:15" x14ac:dyDescent="0.25">
      <c r="B118" s="2172"/>
      <c r="F118" s="2008" t="s">
        <v>1540</v>
      </c>
      <c r="I118" s="2044"/>
      <c r="J118" s="2715" t="s">
        <v>1541</v>
      </c>
      <c r="K118" s="2716"/>
      <c r="L118" s="2716"/>
      <c r="M118" s="2717"/>
      <c r="O118" s="2173"/>
    </row>
    <row r="119" spans="2:15" x14ac:dyDescent="0.25">
      <c r="B119" s="2172"/>
      <c r="H119" s="2046"/>
      <c r="I119" s="2044"/>
      <c r="J119" s="2047"/>
      <c r="K119" s="2047"/>
      <c r="L119" s="2048"/>
      <c r="M119" s="2048"/>
      <c r="O119" s="2173"/>
    </row>
    <row r="120" spans="2:15" x14ac:dyDescent="0.25">
      <c r="B120" s="2172"/>
      <c r="C120" s="2009">
        <v>7</v>
      </c>
      <c r="D120" s="2021" t="s">
        <v>1180</v>
      </c>
      <c r="E120" s="2021"/>
      <c r="F120" s="2022"/>
      <c r="G120" s="2023"/>
      <c r="H120" s="2023"/>
      <c r="I120" s="2023"/>
      <c r="J120" s="2023"/>
      <c r="K120" s="2023"/>
      <c r="L120" s="2023"/>
      <c r="M120" s="2024"/>
      <c r="N120" s="2076">
        <v>0</v>
      </c>
      <c r="O120" s="2173"/>
    </row>
    <row r="121" spans="2:15" ht="7.5" customHeight="1" x14ac:dyDescent="0.25">
      <c r="B121" s="2172"/>
      <c r="D121" s="2009"/>
      <c r="E121" s="2009"/>
      <c r="G121" s="2009"/>
      <c r="H121" s="2009"/>
      <c r="I121" s="2009"/>
      <c r="J121" s="2009"/>
      <c r="K121" s="2009"/>
      <c r="L121" s="2009"/>
      <c r="M121" s="2010"/>
      <c r="N121" s="2009"/>
      <c r="O121" s="2173"/>
    </row>
    <row r="122" spans="2:15" x14ac:dyDescent="0.25">
      <c r="B122" s="2172"/>
      <c r="D122" s="2112" t="s">
        <v>1181</v>
      </c>
      <c r="E122" s="2112"/>
      <c r="O122" s="2173"/>
    </row>
    <row r="123" spans="2:15" ht="4.5" customHeight="1" x14ac:dyDescent="0.25">
      <c r="B123" s="2172"/>
      <c r="D123" s="2112"/>
      <c r="E123" s="2112"/>
      <c r="O123" s="2173"/>
    </row>
    <row r="124" spans="2:15" x14ac:dyDescent="0.25">
      <c r="B124" s="2172"/>
      <c r="F124" s="2718" t="s">
        <v>1739</v>
      </c>
      <c r="G124" s="2719"/>
      <c r="O124" s="2173"/>
    </row>
    <row r="125" spans="2:15" x14ac:dyDescent="0.25">
      <c r="B125" s="2172"/>
      <c r="F125" s="2049"/>
      <c r="G125" s="2049"/>
      <c r="O125" s="2173"/>
    </row>
    <row r="126" spans="2:15" x14ac:dyDescent="0.25">
      <c r="B126" s="2172"/>
      <c r="O126" s="2173"/>
    </row>
    <row r="127" spans="2:15" x14ac:dyDescent="0.25">
      <c r="B127" s="2172"/>
      <c r="C127" s="2009">
        <v>8</v>
      </c>
      <c r="D127" s="2021" t="s">
        <v>1542</v>
      </c>
      <c r="E127" s="2021"/>
      <c r="F127" s="2022"/>
      <c r="G127" s="2023"/>
      <c r="H127" s="2023"/>
      <c r="I127" s="2023"/>
      <c r="J127" s="2023"/>
      <c r="K127" s="2023"/>
      <c r="L127" s="2023"/>
      <c r="M127" s="2024"/>
      <c r="N127" s="2076">
        <v>0</v>
      </c>
      <c r="O127" s="2173"/>
    </row>
    <row r="128" spans="2:15" ht="7.5" customHeight="1" x14ac:dyDescent="0.25">
      <c r="B128" s="2172"/>
      <c r="O128" s="2173"/>
    </row>
    <row r="129" spans="2:15" ht="27.75" customHeight="1" x14ac:dyDescent="0.25">
      <c r="B129" s="2172"/>
      <c r="D129" s="2708" t="s">
        <v>1183</v>
      </c>
      <c r="E129" s="2708"/>
      <c r="F129" s="2708"/>
      <c r="G129" s="2708"/>
      <c r="H129" s="2708"/>
      <c r="I129" s="2708"/>
      <c r="J129" s="2708"/>
      <c r="K129" s="2708"/>
      <c r="L129" s="2708"/>
      <c r="M129" s="2708"/>
      <c r="N129" s="2708"/>
      <c r="O129" s="2173"/>
    </row>
    <row r="130" spans="2:15" ht="4.5" customHeight="1" x14ac:dyDescent="0.25">
      <c r="B130" s="2172"/>
      <c r="D130" s="2112"/>
      <c r="E130" s="2112"/>
      <c r="F130" s="2112"/>
      <c r="G130" s="2112"/>
      <c r="H130" s="2112"/>
      <c r="I130" s="2112"/>
      <c r="J130" s="2112"/>
      <c r="K130" s="2112"/>
      <c r="L130" s="2112"/>
      <c r="M130" s="2112"/>
      <c r="N130" s="2112"/>
      <c r="O130" s="2173"/>
    </row>
    <row r="131" spans="2:15" x14ac:dyDescent="0.25">
      <c r="B131" s="2172"/>
      <c r="E131" s="2043" t="s">
        <v>1184</v>
      </c>
      <c r="O131" s="2173"/>
    </row>
    <row r="132" spans="2:15" x14ac:dyDescent="0.25">
      <c r="B132" s="2172"/>
      <c r="E132" s="2043"/>
      <c r="F132" s="2008" t="s">
        <v>1543</v>
      </c>
      <c r="J132" s="2728" t="s">
        <v>541</v>
      </c>
      <c r="K132" s="2729"/>
      <c r="L132" s="2729"/>
      <c r="M132" s="2730"/>
      <c r="O132" s="2173"/>
    </row>
    <row r="133" spans="2:15" x14ac:dyDescent="0.25">
      <c r="B133" s="2172"/>
      <c r="E133" s="2043"/>
      <c r="J133" s="2731"/>
      <c r="K133" s="2732"/>
      <c r="L133" s="2732"/>
      <c r="M133" s="2733"/>
      <c r="O133" s="2173"/>
    </row>
    <row r="134" spans="2:15" x14ac:dyDescent="0.25">
      <c r="B134" s="2172"/>
      <c r="E134" s="2043"/>
      <c r="F134" s="2008" t="s">
        <v>1185</v>
      </c>
      <c r="J134" s="2720" t="s">
        <v>1186</v>
      </c>
      <c r="K134" s="2721"/>
      <c r="L134" s="2721"/>
      <c r="M134" s="2722"/>
      <c r="O134" s="2173"/>
    </row>
    <row r="135" spans="2:15" x14ac:dyDescent="0.25">
      <c r="B135" s="2172"/>
      <c r="F135" s="2008" t="s">
        <v>1187</v>
      </c>
      <c r="I135" s="2044"/>
      <c r="J135" s="2720" t="s">
        <v>1188</v>
      </c>
      <c r="K135" s="2721"/>
      <c r="L135" s="2721"/>
      <c r="M135" s="2722"/>
      <c r="O135" s="2173"/>
    </row>
    <row r="136" spans="2:15" x14ac:dyDescent="0.25">
      <c r="B136" s="2172"/>
      <c r="F136" s="2008" t="s">
        <v>1189</v>
      </c>
      <c r="I136" s="2044"/>
      <c r="J136" s="2720" t="s">
        <v>1544</v>
      </c>
      <c r="K136" s="2721"/>
      <c r="L136" s="2721"/>
      <c r="M136" s="2722"/>
      <c r="O136" s="2173"/>
    </row>
    <row r="137" spans="2:15" x14ac:dyDescent="0.25">
      <c r="B137" s="2172"/>
      <c r="E137" s="2050"/>
      <c r="H137" s="2046"/>
      <c r="I137" s="2044"/>
      <c r="J137" s="2048"/>
      <c r="K137" s="2048"/>
      <c r="L137" s="2048"/>
      <c r="M137" s="2048"/>
      <c r="O137" s="2173"/>
    </row>
    <row r="138" spans="2:15" x14ac:dyDescent="0.25">
      <c r="B138" s="2172"/>
      <c r="C138" s="2009">
        <v>9</v>
      </c>
      <c r="D138" s="2021" t="s">
        <v>1190</v>
      </c>
      <c r="E138" s="2021"/>
      <c r="F138" s="2022"/>
      <c r="G138" s="2023"/>
      <c r="H138" s="2023"/>
      <c r="I138" s="2023"/>
      <c r="J138" s="2023"/>
      <c r="K138" s="2023"/>
      <c r="L138" s="2023"/>
      <c r="M138" s="2024"/>
      <c r="N138" s="2076">
        <v>0</v>
      </c>
      <c r="O138" s="2173"/>
    </row>
    <row r="139" spans="2:15" ht="7.5" customHeight="1" x14ac:dyDescent="0.25">
      <c r="B139" s="2172"/>
      <c r="O139" s="2173"/>
    </row>
    <row r="140" spans="2:15" ht="29.25" customHeight="1" x14ac:dyDescent="0.25">
      <c r="B140" s="2172"/>
      <c r="D140" s="2708" t="s">
        <v>1191</v>
      </c>
      <c r="E140" s="2708"/>
      <c r="F140" s="2708"/>
      <c r="G140" s="2708"/>
      <c r="H140" s="2708"/>
      <c r="I140" s="2708"/>
      <c r="J140" s="2708"/>
      <c r="K140" s="2708"/>
      <c r="L140" s="2708"/>
      <c r="M140" s="2708"/>
      <c r="N140" s="2708"/>
      <c r="O140" s="2173"/>
    </row>
    <row r="141" spans="2:15" ht="4.5" customHeight="1" x14ac:dyDescent="0.25">
      <c r="B141" s="2172"/>
      <c r="D141" s="2112"/>
      <c r="O141" s="2173"/>
    </row>
    <row r="142" spans="2:15" x14ac:dyDescent="0.25">
      <c r="B142" s="2172"/>
      <c r="F142" s="2705" t="s">
        <v>541</v>
      </c>
      <c r="G142" s="2706"/>
      <c r="H142" s="2706"/>
      <c r="I142" s="2706"/>
      <c r="J142" s="2706"/>
      <c r="K142" s="2706"/>
      <c r="L142" s="2706"/>
      <c r="M142" s="2706"/>
      <c r="N142" s="2707"/>
      <c r="O142" s="2173"/>
    </row>
    <row r="143" spans="2:15" x14ac:dyDescent="0.25">
      <c r="B143" s="2172"/>
      <c r="G143" s="2039"/>
      <c r="H143" s="2039"/>
      <c r="I143" s="2039"/>
      <c r="J143" s="2039"/>
      <c r="K143" s="2039"/>
      <c r="L143" s="2039"/>
      <c r="M143" s="2039"/>
      <c r="N143" s="2039"/>
      <c r="O143" s="2173"/>
    </row>
    <row r="144" spans="2:15" x14ac:dyDescent="0.25">
      <c r="B144" s="2172"/>
      <c r="G144" s="2039" t="s">
        <v>1193</v>
      </c>
      <c r="H144" s="2039"/>
      <c r="I144" s="2039"/>
      <c r="J144" s="2039"/>
      <c r="K144" s="2039"/>
      <c r="L144" s="2039"/>
      <c r="M144" s="2007">
        <f>'8A'!L48</f>
        <v>0</v>
      </c>
      <c r="N144" s="2039" t="s">
        <v>1163</v>
      </c>
      <c r="O144" s="2173"/>
    </row>
    <row r="145" spans="2:15" ht="4.5" customHeight="1" x14ac:dyDescent="0.25">
      <c r="B145" s="2172"/>
      <c r="F145" s="2039"/>
      <c r="G145" s="2711" t="s">
        <v>1194</v>
      </c>
      <c r="H145" s="2711"/>
      <c r="I145" s="2711"/>
      <c r="J145" s="2711"/>
      <c r="K145" s="2711"/>
      <c r="L145" s="2711"/>
      <c r="O145" s="2173"/>
    </row>
    <row r="146" spans="2:15" x14ac:dyDescent="0.25">
      <c r="B146" s="2172"/>
      <c r="F146" s="2039"/>
      <c r="G146" s="2711"/>
      <c r="H146" s="2711"/>
      <c r="I146" s="2711"/>
      <c r="J146" s="2711"/>
      <c r="K146" s="2711"/>
      <c r="L146" s="2711"/>
      <c r="M146" s="2098">
        <v>0</v>
      </c>
      <c r="N146" s="2039" t="s">
        <v>1163</v>
      </c>
      <c r="O146" s="2173"/>
    </row>
    <row r="147" spans="2:15" ht="4.5" customHeight="1" x14ac:dyDescent="0.25">
      <c r="B147" s="2172"/>
      <c r="F147" s="2039"/>
      <c r="G147" s="2113"/>
      <c r="H147" s="2113"/>
      <c r="I147" s="2113"/>
      <c r="J147" s="2113"/>
      <c r="K147" s="2113"/>
      <c r="L147" s="2113"/>
      <c r="O147" s="2173"/>
    </row>
    <row r="148" spans="2:15" x14ac:dyDescent="0.25">
      <c r="B148" s="2172"/>
      <c r="G148" s="2008" t="s">
        <v>1195</v>
      </c>
      <c r="M148" s="2007">
        <f>IFERROR((M146/M144),0)</f>
        <v>0</v>
      </c>
      <c r="N148" s="2039" t="s">
        <v>1196</v>
      </c>
      <c r="O148" s="2173"/>
    </row>
    <row r="149" spans="2:15" x14ac:dyDescent="0.25">
      <c r="B149" s="2172"/>
      <c r="M149" s="2003"/>
      <c r="N149" s="2039"/>
      <c r="O149" s="2173"/>
    </row>
    <row r="150" spans="2:15" x14ac:dyDescent="0.25">
      <c r="B150" s="2172"/>
      <c r="O150" s="2173"/>
    </row>
    <row r="151" spans="2:15" x14ac:dyDescent="0.25">
      <c r="B151" s="2172"/>
      <c r="C151" s="2009">
        <v>10</v>
      </c>
      <c r="D151" s="2021" t="s">
        <v>1197</v>
      </c>
      <c r="E151" s="2021"/>
      <c r="F151" s="2022"/>
      <c r="G151" s="2023"/>
      <c r="H151" s="2023"/>
      <c r="I151" s="2023"/>
      <c r="J151" s="2023"/>
      <c r="K151" s="2023"/>
      <c r="L151" s="2023"/>
      <c r="M151" s="2024"/>
      <c r="N151" s="2076">
        <v>0</v>
      </c>
      <c r="O151" s="2173"/>
    </row>
    <row r="152" spans="2:15" ht="7.5" customHeight="1" x14ac:dyDescent="0.25">
      <c r="B152" s="2172"/>
      <c r="D152" s="2009"/>
      <c r="E152" s="2009"/>
      <c r="F152" s="2112"/>
      <c r="G152" s="2009"/>
      <c r="H152" s="2009"/>
      <c r="I152" s="2009"/>
      <c r="J152" s="2009"/>
      <c r="K152" s="2009"/>
      <c r="L152" s="2009"/>
      <c r="M152" s="2010"/>
      <c r="N152" s="2009"/>
      <c r="O152" s="2173"/>
    </row>
    <row r="153" spans="2:15" ht="27" customHeight="1" x14ac:dyDescent="0.25">
      <c r="B153" s="2172"/>
      <c r="D153" s="2708" t="s">
        <v>1198</v>
      </c>
      <c r="E153" s="2708"/>
      <c r="F153" s="2708"/>
      <c r="G153" s="2708"/>
      <c r="H153" s="2708"/>
      <c r="I153" s="2708"/>
      <c r="J153" s="2708"/>
      <c r="K153" s="2708"/>
      <c r="L153" s="2708"/>
      <c r="M153" s="2708"/>
      <c r="N153" s="2708"/>
      <c r="O153" s="2173"/>
    </row>
    <row r="154" spans="2:15" ht="4.5" customHeight="1" x14ac:dyDescent="0.25">
      <c r="B154" s="2172"/>
      <c r="D154" s="2111"/>
      <c r="E154" s="2111"/>
      <c r="F154" s="2111"/>
      <c r="G154" s="2111"/>
      <c r="H154" s="2111"/>
      <c r="I154" s="2111"/>
      <c r="J154" s="2111"/>
      <c r="K154" s="2111"/>
      <c r="L154" s="2111"/>
      <c r="M154" s="2111"/>
      <c r="N154" s="2111"/>
      <c r="O154" s="2173"/>
    </row>
    <row r="155" spans="2:15" x14ac:dyDescent="0.25">
      <c r="B155" s="2172"/>
      <c r="D155" s="2111"/>
      <c r="E155" s="2111"/>
      <c r="F155" s="2051" t="s">
        <v>1199</v>
      </c>
      <c r="G155" s="2111"/>
      <c r="H155" s="2705" t="s">
        <v>1740</v>
      </c>
      <c r="I155" s="2706"/>
      <c r="J155" s="2707"/>
      <c r="K155" s="2039"/>
      <c r="L155" s="2039"/>
      <c r="M155" s="2111"/>
      <c r="N155" s="2111"/>
      <c r="O155" s="2173"/>
    </row>
    <row r="156" spans="2:15" x14ac:dyDescent="0.25">
      <c r="B156" s="2172"/>
      <c r="D156" s="2050"/>
      <c r="E156" s="2050" t="s">
        <v>1200</v>
      </c>
      <c r="K156" s="2009"/>
      <c r="L156" s="2052"/>
      <c r="M156" s="2010"/>
      <c r="N156" s="2009"/>
      <c r="O156" s="2173"/>
    </row>
    <row r="157" spans="2:15" x14ac:dyDescent="0.25">
      <c r="B157" s="2172"/>
      <c r="D157" s="2050"/>
      <c r="E157" s="2050"/>
      <c r="K157" s="2009"/>
      <c r="L157" s="2052"/>
      <c r="M157" s="2010"/>
      <c r="N157" s="2009"/>
      <c r="O157" s="2173"/>
    </row>
    <row r="158" spans="2:15" x14ac:dyDescent="0.25">
      <c r="B158" s="2172"/>
      <c r="D158" s="2009"/>
      <c r="E158" s="2009"/>
      <c r="F158" s="2039"/>
      <c r="G158" s="2039"/>
      <c r="H158" s="2039"/>
      <c r="I158" s="2039"/>
      <c r="J158" s="2039"/>
      <c r="K158" s="2009"/>
      <c r="L158" s="2052"/>
      <c r="M158" s="2010"/>
      <c r="N158" s="2009"/>
      <c r="O158" s="2173"/>
    </row>
    <row r="159" spans="2:15" x14ac:dyDescent="0.25">
      <c r="B159" s="2172"/>
      <c r="C159" s="2009">
        <v>11</v>
      </c>
      <c r="D159" s="2021" t="s">
        <v>1201</v>
      </c>
      <c r="E159" s="2021"/>
      <c r="F159" s="2022"/>
      <c r="G159" s="2023"/>
      <c r="H159" s="2023"/>
      <c r="I159" s="2023"/>
      <c r="J159" s="2023"/>
      <c r="K159" s="2023"/>
      <c r="L159" s="2023"/>
      <c r="M159" s="2024"/>
      <c r="N159" s="2076">
        <v>0</v>
      </c>
      <c r="O159" s="2173"/>
    </row>
    <row r="160" spans="2:15" ht="7.5" customHeight="1" x14ac:dyDescent="0.25">
      <c r="B160" s="2172"/>
      <c r="D160" s="2009"/>
      <c r="E160" s="2009"/>
      <c r="F160" s="2112"/>
      <c r="G160" s="2009"/>
      <c r="H160" s="2009"/>
      <c r="I160" s="2009"/>
      <c r="J160" s="2009"/>
      <c r="K160" s="2009"/>
      <c r="L160" s="2009"/>
      <c r="M160" s="2010"/>
      <c r="N160" s="2100"/>
      <c r="O160" s="2173"/>
    </row>
    <row r="161" spans="2:15" ht="27" customHeight="1" x14ac:dyDescent="0.25">
      <c r="B161" s="2172"/>
      <c r="D161" s="2708" t="s">
        <v>1202</v>
      </c>
      <c r="E161" s="2708"/>
      <c r="F161" s="2708"/>
      <c r="G161" s="2708"/>
      <c r="H161" s="2708"/>
      <c r="I161" s="2708"/>
      <c r="J161" s="2708"/>
      <c r="K161" s="2708"/>
      <c r="L161" s="2708"/>
      <c r="M161" s="2708"/>
      <c r="N161" s="2708"/>
      <c r="O161" s="2173"/>
    </row>
    <row r="162" spans="2:15" ht="4.5" customHeight="1" x14ac:dyDescent="0.25">
      <c r="B162" s="2172"/>
      <c r="D162" s="2111"/>
      <c r="E162" s="2111"/>
      <c r="F162" s="2111"/>
      <c r="G162" s="2111"/>
      <c r="H162" s="2111"/>
      <c r="I162" s="2111"/>
      <c r="J162" s="2111"/>
      <c r="K162" s="2111"/>
      <c r="L162" s="2111"/>
      <c r="M162" s="2111"/>
      <c r="N162" s="2111"/>
      <c r="O162" s="2173"/>
    </row>
    <row r="163" spans="2:15" x14ac:dyDescent="0.25">
      <c r="B163" s="2172"/>
      <c r="D163" s="2111"/>
      <c r="E163" s="2111"/>
      <c r="F163" s="2051" t="s">
        <v>1203</v>
      </c>
      <c r="G163" s="2111"/>
      <c r="H163" s="2705" t="s">
        <v>541</v>
      </c>
      <c r="I163" s="2706"/>
      <c r="J163" s="2706"/>
      <c r="K163" s="2706"/>
      <c r="L163" s="2706"/>
      <c r="M163" s="2707"/>
      <c r="N163" s="2111"/>
      <c r="O163" s="2173"/>
    </row>
    <row r="164" spans="2:15" x14ac:dyDescent="0.25">
      <c r="B164" s="2172"/>
      <c r="D164" s="2009"/>
      <c r="E164" s="2009"/>
      <c r="K164" s="2009"/>
      <c r="L164" s="2052"/>
      <c r="M164" s="2010"/>
      <c r="N164" s="2009"/>
      <c r="O164" s="2173"/>
    </row>
    <row r="165" spans="2:15" x14ac:dyDescent="0.25">
      <c r="B165" s="2172"/>
      <c r="D165" s="2009"/>
      <c r="E165" s="2009"/>
      <c r="F165" s="2039"/>
      <c r="G165" s="2039"/>
      <c r="H165" s="2039"/>
      <c r="I165" s="2039"/>
      <c r="J165" s="2039"/>
      <c r="K165" s="2009"/>
      <c r="L165" s="2052"/>
      <c r="M165" s="2010"/>
      <c r="N165" s="2009"/>
      <c r="O165" s="2173"/>
    </row>
    <row r="166" spans="2:15" x14ac:dyDescent="0.25">
      <c r="B166" s="2172"/>
      <c r="C166" s="2009">
        <v>12</v>
      </c>
      <c r="D166" s="2021" t="s">
        <v>1204</v>
      </c>
      <c r="E166" s="2021"/>
      <c r="F166" s="2022"/>
      <c r="G166" s="2023"/>
      <c r="H166" s="2023"/>
      <c r="I166" s="2023"/>
      <c r="J166" s="2023"/>
      <c r="K166" s="2023"/>
      <c r="L166" s="2023"/>
      <c r="M166" s="2024"/>
      <c r="N166" s="2076">
        <v>0</v>
      </c>
      <c r="O166" s="2173"/>
    </row>
    <row r="167" spans="2:15" ht="7.5" customHeight="1" x14ac:dyDescent="0.25">
      <c r="B167" s="2172"/>
      <c r="D167" s="2009"/>
      <c r="E167" s="2009"/>
      <c r="F167" s="2112"/>
      <c r="G167" s="2009"/>
      <c r="H167" s="2009"/>
      <c r="I167" s="2009"/>
      <c r="J167" s="2009"/>
      <c r="K167" s="2009"/>
      <c r="L167" s="2009"/>
      <c r="M167" s="2010"/>
      <c r="N167" s="2009"/>
      <c r="O167" s="2173"/>
    </row>
    <row r="168" spans="2:15" ht="15" customHeight="1" x14ac:dyDescent="0.25">
      <c r="B168" s="2172"/>
      <c r="D168" s="2708" t="s">
        <v>1205</v>
      </c>
      <c r="E168" s="2708"/>
      <c r="F168" s="2708"/>
      <c r="G168" s="2708"/>
      <c r="H168" s="2708"/>
      <c r="I168" s="2708"/>
      <c r="J168" s="2708"/>
      <c r="K168" s="2708"/>
      <c r="L168" s="2708"/>
      <c r="M168" s="2708"/>
      <c r="N168" s="2708"/>
      <c r="O168" s="2173"/>
    </row>
    <row r="169" spans="2:15" x14ac:dyDescent="0.25">
      <c r="B169" s="2172"/>
      <c r="D169" s="2708"/>
      <c r="E169" s="2708"/>
      <c r="F169" s="2708"/>
      <c r="G169" s="2708"/>
      <c r="H169" s="2708"/>
      <c r="I169" s="2708"/>
      <c r="J169" s="2708"/>
      <c r="K169" s="2708"/>
      <c r="L169" s="2708"/>
      <c r="M169" s="2708"/>
      <c r="N169" s="2708"/>
      <c r="O169" s="2173"/>
    </row>
    <row r="170" spans="2:15" ht="4.5" customHeight="1" x14ac:dyDescent="0.25">
      <c r="B170" s="2172"/>
      <c r="D170" s="2111"/>
      <c r="E170" s="2111"/>
      <c r="F170" s="2111"/>
      <c r="G170" s="2111"/>
      <c r="H170" s="2111"/>
      <c r="I170" s="2111"/>
      <c r="J170" s="2111"/>
      <c r="K170" s="2111"/>
      <c r="L170" s="2111"/>
      <c r="M170" s="2111"/>
      <c r="N170" s="2111"/>
      <c r="O170" s="2173"/>
    </row>
    <row r="171" spans="2:15" x14ac:dyDescent="0.25">
      <c r="B171" s="2172"/>
      <c r="F171" s="2008" t="s">
        <v>1169</v>
      </c>
      <c r="H171" s="2705" t="s">
        <v>1170</v>
      </c>
      <c r="I171" s="2706"/>
      <c r="J171" s="2706"/>
      <c r="K171" s="2706"/>
      <c r="L171" s="2706"/>
      <c r="M171" s="2707"/>
      <c r="O171" s="2173"/>
    </row>
    <row r="172" spans="2:15" x14ac:dyDescent="0.25">
      <c r="B172" s="2172"/>
      <c r="H172" s="2039"/>
      <c r="I172" s="2039"/>
      <c r="J172" s="2039"/>
      <c r="K172" s="2039"/>
      <c r="L172" s="2039"/>
      <c r="M172" s="2039"/>
      <c r="O172" s="2173"/>
    </row>
    <row r="173" spans="2:15" x14ac:dyDescent="0.25">
      <c r="B173" s="2172"/>
      <c r="D173" s="2111"/>
      <c r="E173" s="2111"/>
      <c r="F173" s="2111"/>
      <c r="G173" s="2111"/>
      <c r="H173" s="2111"/>
      <c r="I173" s="2111"/>
      <c r="J173" s="2111"/>
      <c r="K173" s="2111"/>
      <c r="L173" s="2111"/>
      <c r="M173" s="2111"/>
      <c r="N173" s="2111"/>
      <c r="O173" s="2173"/>
    </row>
    <row r="174" spans="2:15" x14ac:dyDescent="0.25">
      <c r="B174" s="2172"/>
      <c r="C174" s="2009">
        <v>13</v>
      </c>
      <c r="D174" s="2021" t="s">
        <v>1206</v>
      </c>
      <c r="E174" s="2021"/>
      <c r="F174" s="2022"/>
      <c r="G174" s="2023"/>
      <c r="H174" s="2023"/>
      <c r="I174" s="2023"/>
      <c r="J174" s="2023"/>
      <c r="K174" s="2023"/>
      <c r="L174" s="2023"/>
      <c r="M174" s="2024"/>
      <c r="N174" s="2076">
        <v>0</v>
      </c>
      <c r="O174" s="2173"/>
    </row>
    <row r="175" spans="2:15" ht="7.5" customHeight="1" x14ac:dyDescent="0.25">
      <c r="B175" s="2172"/>
      <c r="D175" s="2009"/>
      <c r="E175" s="2009"/>
      <c r="F175" s="2112"/>
      <c r="G175" s="2009"/>
      <c r="H175" s="2009"/>
      <c r="I175" s="2009"/>
      <c r="J175" s="2009"/>
      <c r="K175" s="2009"/>
      <c r="L175" s="2009"/>
      <c r="M175" s="2010"/>
      <c r="N175" s="2009"/>
      <c r="O175" s="2173"/>
    </row>
    <row r="176" spans="2:15" ht="15" customHeight="1" x14ac:dyDescent="0.25">
      <c r="B176" s="2172"/>
      <c r="D176" s="2708" t="s">
        <v>1207</v>
      </c>
      <c r="E176" s="2708"/>
      <c r="F176" s="2708"/>
      <c r="G176" s="2708"/>
      <c r="H176" s="2708"/>
      <c r="I176" s="2708"/>
      <c r="J176" s="2708"/>
      <c r="K176" s="2708"/>
      <c r="L176" s="2708"/>
      <c r="M176" s="2708"/>
      <c r="N176" s="2708"/>
      <c r="O176" s="2173"/>
    </row>
    <row r="177" spans="2:15" x14ac:dyDescent="0.25">
      <c r="B177" s="2172"/>
      <c r="D177" s="2708"/>
      <c r="E177" s="2708"/>
      <c r="F177" s="2708"/>
      <c r="G177" s="2708"/>
      <c r="H177" s="2708"/>
      <c r="I177" s="2708"/>
      <c r="J177" s="2708"/>
      <c r="K177" s="2708"/>
      <c r="L177" s="2708"/>
      <c r="M177" s="2708"/>
      <c r="N177" s="2708"/>
      <c r="O177" s="2173"/>
    </row>
    <row r="178" spans="2:15" ht="4.5" customHeight="1" x14ac:dyDescent="0.25">
      <c r="B178" s="2172"/>
      <c r="D178" s="2111"/>
      <c r="E178" s="2111"/>
      <c r="F178" s="2111"/>
      <c r="G178" s="2111"/>
      <c r="H178" s="2111"/>
      <c r="I178" s="2111"/>
      <c r="J178" s="2111"/>
      <c r="K178" s="2111"/>
      <c r="L178" s="2111"/>
      <c r="M178" s="2111"/>
      <c r="N178" s="2111"/>
      <c r="O178" s="2173"/>
    </row>
    <row r="179" spans="2:15" x14ac:dyDescent="0.25">
      <c r="B179" s="2172"/>
      <c r="F179" s="2008" t="s">
        <v>1169</v>
      </c>
      <c r="H179" s="2705" t="s">
        <v>1170</v>
      </c>
      <c r="I179" s="2706"/>
      <c r="J179" s="2706"/>
      <c r="K179" s="2706"/>
      <c r="L179" s="2706"/>
      <c r="M179" s="2707"/>
      <c r="O179" s="2173"/>
    </row>
    <row r="180" spans="2:15" x14ac:dyDescent="0.25">
      <c r="B180" s="2172"/>
      <c r="H180" s="2039"/>
      <c r="I180" s="2039"/>
      <c r="J180" s="2039"/>
      <c r="K180" s="2039"/>
      <c r="L180" s="2039"/>
      <c r="M180" s="2039"/>
      <c r="O180" s="2173"/>
    </row>
    <row r="181" spans="2:15" x14ac:dyDescent="0.25">
      <c r="B181" s="2172"/>
      <c r="D181" s="2111"/>
      <c r="E181" s="2111"/>
      <c r="F181" s="2111"/>
      <c r="G181" s="2111"/>
      <c r="H181" s="2111"/>
      <c r="I181" s="2111"/>
      <c r="J181" s="2111"/>
      <c r="K181" s="2111"/>
      <c r="L181" s="2111"/>
      <c r="M181" s="2111"/>
      <c r="N181" s="2111"/>
      <c r="O181" s="2173"/>
    </row>
    <row r="182" spans="2:15" x14ac:dyDescent="0.25">
      <c r="B182" s="2172"/>
      <c r="C182" s="2009">
        <v>14</v>
      </c>
      <c r="D182" s="2021" t="s">
        <v>1208</v>
      </c>
      <c r="E182" s="2021"/>
      <c r="F182" s="2022"/>
      <c r="G182" s="2023"/>
      <c r="H182" s="2023"/>
      <c r="I182" s="2023"/>
      <c r="J182" s="2023"/>
      <c r="K182" s="2023"/>
      <c r="L182" s="2023"/>
      <c r="M182" s="2024"/>
      <c r="N182" s="2076">
        <v>0</v>
      </c>
      <c r="O182" s="2173"/>
    </row>
    <row r="183" spans="2:15" ht="7.5" customHeight="1" x14ac:dyDescent="0.25">
      <c r="B183" s="2172"/>
      <c r="D183" s="2009"/>
      <c r="E183" s="2009"/>
      <c r="F183" s="2112"/>
      <c r="G183" s="2009"/>
      <c r="H183" s="2009"/>
      <c r="I183" s="2009"/>
      <c r="J183" s="2009"/>
      <c r="K183" s="2009"/>
      <c r="L183" s="2009"/>
      <c r="M183" s="2010"/>
      <c r="N183" s="2009"/>
      <c r="O183" s="2173"/>
    </row>
    <row r="184" spans="2:15" ht="15" customHeight="1" x14ac:dyDescent="0.25">
      <c r="B184" s="2172"/>
      <c r="D184" s="2708" t="s">
        <v>1209</v>
      </c>
      <c r="E184" s="2708"/>
      <c r="F184" s="2708"/>
      <c r="G184" s="2708"/>
      <c r="H184" s="2708"/>
      <c r="I184" s="2708"/>
      <c r="J184" s="2708"/>
      <c r="K184" s="2708"/>
      <c r="L184" s="2708"/>
      <c r="M184" s="2708"/>
      <c r="N184" s="2708"/>
      <c r="O184" s="2173"/>
    </row>
    <row r="185" spans="2:15" x14ac:dyDescent="0.25">
      <c r="B185" s="2172"/>
      <c r="D185" s="2708"/>
      <c r="E185" s="2708"/>
      <c r="F185" s="2708"/>
      <c r="G185" s="2708"/>
      <c r="H185" s="2708"/>
      <c r="I185" s="2708"/>
      <c r="J185" s="2708"/>
      <c r="K185" s="2708"/>
      <c r="L185" s="2708"/>
      <c r="M185" s="2708"/>
      <c r="N185" s="2708"/>
      <c r="O185" s="2173"/>
    </row>
    <row r="186" spans="2:15" x14ac:dyDescent="0.25">
      <c r="B186" s="2172"/>
      <c r="D186" s="2111"/>
      <c r="E186" s="2111"/>
      <c r="F186" s="2111"/>
      <c r="G186" s="2111"/>
      <c r="H186" s="2111"/>
      <c r="I186" s="2111"/>
      <c r="J186" s="2111"/>
      <c r="K186" s="2111"/>
      <c r="L186" s="2111"/>
      <c r="M186" s="2111"/>
      <c r="N186" s="2111"/>
      <c r="O186" s="2173"/>
    </row>
    <row r="187" spans="2:15" x14ac:dyDescent="0.25">
      <c r="B187" s="2172"/>
      <c r="F187" s="2008" t="s">
        <v>1169</v>
      </c>
      <c r="H187" s="2705" t="s">
        <v>1215</v>
      </c>
      <c r="I187" s="2706"/>
      <c r="J187" s="2706"/>
      <c r="K187" s="2706"/>
      <c r="L187" s="2706"/>
      <c r="M187" s="2707"/>
      <c r="O187" s="2173"/>
    </row>
    <row r="188" spans="2:15" x14ac:dyDescent="0.25">
      <c r="B188" s="2172"/>
      <c r="H188" s="2039"/>
      <c r="I188" s="2039"/>
      <c r="J188" s="2039"/>
      <c r="K188" s="2039"/>
      <c r="L188" s="2039"/>
      <c r="M188" s="2039"/>
      <c r="O188" s="2173"/>
    </row>
    <row r="189" spans="2:15" x14ac:dyDescent="0.25">
      <c r="B189" s="2172"/>
      <c r="H189" s="2039"/>
      <c r="I189" s="2039"/>
      <c r="J189" s="2039"/>
      <c r="K189" s="2039"/>
      <c r="L189" s="2039"/>
      <c r="M189" s="2039"/>
      <c r="O189" s="2173"/>
    </row>
    <row r="190" spans="2:15" x14ac:dyDescent="0.25">
      <c r="B190" s="2172"/>
      <c r="C190" s="2009">
        <v>15</v>
      </c>
      <c r="D190" s="2021" t="s">
        <v>1210</v>
      </c>
      <c r="E190" s="2021"/>
      <c r="F190" s="2022"/>
      <c r="G190" s="2023"/>
      <c r="H190" s="2023"/>
      <c r="I190" s="2023"/>
      <c r="J190" s="2023"/>
      <c r="K190" s="2023"/>
      <c r="L190" s="2023"/>
      <c r="M190" s="2024"/>
      <c r="N190" s="2076">
        <v>0</v>
      </c>
      <c r="O190" s="2173"/>
    </row>
    <row r="191" spans="2:15" ht="7.5" customHeight="1" x14ac:dyDescent="0.25">
      <c r="B191" s="2172"/>
      <c r="D191" s="2009"/>
      <c r="E191" s="2009"/>
      <c r="F191" s="2112"/>
      <c r="G191" s="2009"/>
      <c r="H191" s="2009"/>
      <c r="I191" s="2009"/>
      <c r="J191" s="2009"/>
      <c r="K191" s="2009"/>
      <c r="L191" s="2009"/>
      <c r="M191" s="2010"/>
      <c r="N191" s="2009"/>
      <c r="O191" s="2173"/>
    </row>
    <row r="192" spans="2:15" ht="15" customHeight="1" x14ac:dyDescent="0.25">
      <c r="B192" s="2172"/>
      <c r="D192" s="2708" t="s">
        <v>1211</v>
      </c>
      <c r="E192" s="2708"/>
      <c r="F192" s="2708"/>
      <c r="G192" s="2708"/>
      <c r="H192" s="2708"/>
      <c r="I192" s="2708"/>
      <c r="J192" s="2708"/>
      <c r="K192" s="2708"/>
      <c r="L192" s="2708"/>
      <c r="M192" s="2708"/>
      <c r="N192" s="2708"/>
      <c r="O192" s="2173"/>
    </row>
    <row r="193" spans="2:15" x14ac:dyDescent="0.25">
      <c r="B193" s="2172"/>
      <c r="D193" s="2708"/>
      <c r="E193" s="2708"/>
      <c r="F193" s="2708"/>
      <c r="G193" s="2708"/>
      <c r="H193" s="2708"/>
      <c r="I193" s="2708"/>
      <c r="J193" s="2708"/>
      <c r="K193" s="2708"/>
      <c r="L193" s="2708"/>
      <c r="M193" s="2708"/>
      <c r="N193" s="2708"/>
      <c r="O193" s="2173"/>
    </row>
    <row r="194" spans="2:15" x14ac:dyDescent="0.25">
      <c r="B194" s="2172"/>
      <c r="D194" s="2111"/>
      <c r="E194" s="2111"/>
      <c r="F194" s="2111"/>
      <c r="G194" s="2111"/>
      <c r="H194" s="2111"/>
      <c r="I194" s="2111"/>
      <c r="J194" s="2111"/>
      <c r="K194" s="2111"/>
      <c r="L194" s="2111"/>
      <c r="M194" s="2111"/>
      <c r="N194" s="2111"/>
      <c r="O194" s="2173"/>
    </row>
    <row r="195" spans="2:15" x14ac:dyDescent="0.25">
      <c r="B195" s="2172"/>
      <c r="F195" s="2008" t="s">
        <v>1169</v>
      </c>
      <c r="H195" s="2705" t="s">
        <v>1215</v>
      </c>
      <c r="I195" s="2706"/>
      <c r="J195" s="2706"/>
      <c r="K195" s="2706"/>
      <c r="L195" s="2706"/>
      <c r="M195" s="2707"/>
      <c r="O195" s="2173"/>
    </row>
    <row r="196" spans="2:15" x14ac:dyDescent="0.25">
      <c r="B196" s="2172"/>
      <c r="H196" s="2039"/>
      <c r="I196" s="2039"/>
      <c r="J196" s="2039"/>
      <c r="K196" s="2039"/>
      <c r="L196" s="2039"/>
      <c r="M196" s="2039"/>
      <c r="O196" s="2173"/>
    </row>
    <row r="197" spans="2:15" x14ac:dyDescent="0.25">
      <c r="B197" s="2172"/>
      <c r="H197" s="2039"/>
      <c r="I197" s="2039"/>
      <c r="J197" s="2039"/>
      <c r="K197" s="2039"/>
      <c r="L197" s="2039"/>
      <c r="M197" s="2039"/>
      <c r="O197" s="2173"/>
    </row>
    <row r="198" spans="2:15" x14ac:dyDescent="0.25">
      <c r="B198" s="2172"/>
      <c r="C198" s="2009">
        <v>16</v>
      </c>
      <c r="D198" s="2021" t="s">
        <v>1212</v>
      </c>
      <c r="E198" s="2021"/>
      <c r="F198" s="2022"/>
      <c r="G198" s="2023"/>
      <c r="H198" s="2023"/>
      <c r="I198" s="2023"/>
      <c r="J198" s="2023"/>
      <c r="K198" s="2023"/>
      <c r="L198" s="2023"/>
      <c r="M198" s="2024"/>
      <c r="N198" s="2076">
        <v>0</v>
      </c>
      <c r="O198" s="2173"/>
    </row>
    <row r="199" spans="2:15" ht="7.5" customHeight="1" x14ac:dyDescent="0.25">
      <c r="B199" s="2172"/>
      <c r="D199" s="2009"/>
      <c r="E199" s="2009"/>
      <c r="F199" s="2112"/>
      <c r="G199" s="2009"/>
      <c r="H199" s="2009"/>
      <c r="I199" s="2009"/>
      <c r="J199" s="2009"/>
      <c r="K199" s="2009"/>
      <c r="L199" s="2009"/>
      <c r="M199" s="2010"/>
      <c r="N199" s="2009"/>
      <c r="O199" s="2173"/>
    </row>
    <row r="200" spans="2:15" x14ac:dyDescent="0.25">
      <c r="B200" s="2172"/>
      <c r="D200" s="2736" t="s">
        <v>1213</v>
      </c>
      <c r="E200" s="2736"/>
      <c r="F200" s="2736"/>
      <c r="G200" s="2736"/>
      <c r="H200" s="2736"/>
      <c r="I200" s="2736"/>
      <c r="J200" s="2736"/>
      <c r="K200" s="2736"/>
      <c r="L200" s="2736"/>
      <c r="M200" s="2736"/>
      <c r="N200" s="2736"/>
      <c r="O200" s="2173"/>
    </row>
    <row r="201" spans="2:15" x14ac:dyDescent="0.25">
      <c r="B201" s="2172"/>
      <c r="D201" s="2111"/>
      <c r="E201" s="2111"/>
      <c r="F201" s="2111"/>
      <c r="G201" s="2111"/>
      <c r="H201" s="2111"/>
      <c r="I201" s="2111"/>
      <c r="J201" s="2111"/>
      <c r="K201" s="2111"/>
      <c r="L201" s="2111"/>
      <c r="M201" s="2111"/>
      <c r="N201" s="2111"/>
      <c r="O201" s="2173"/>
    </row>
    <row r="202" spans="2:15" x14ac:dyDescent="0.25">
      <c r="B202" s="2172"/>
      <c r="D202" s="2111"/>
      <c r="E202" s="2111"/>
      <c r="F202" s="2051" t="s">
        <v>1214</v>
      </c>
      <c r="G202" s="2111"/>
      <c r="H202" s="2737" t="s">
        <v>1215</v>
      </c>
      <c r="I202" s="2738"/>
      <c r="J202" s="2739"/>
      <c r="K202" s="2111"/>
      <c r="L202" s="2737" t="s">
        <v>1216</v>
      </c>
      <c r="M202" s="2739"/>
      <c r="N202" s="2111"/>
      <c r="O202" s="2173"/>
    </row>
    <row r="203" spans="2:15" x14ac:dyDescent="0.25">
      <c r="B203" s="2172"/>
      <c r="D203" s="2111"/>
      <c r="E203" s="2111"/>
      <c r="F203" s="2111"/>
      <c r="G203" s="2111"/>
      <c r="H203" s="2111"/>
      <c r="I203" s="2111"/>
      <c r="J203" s="2111"/>
      <c r="K203" s="2111"/>
      <c r="L203" s="2111"/>
      <c r="M203" s="2111"/>
      <c r="N203" s="2111"/>
      <c r="O203" s="2173"/>
    </row>
    <row r="204" spans="2:15" x14ac:dyDescent="0.25">
      <c r="B204" s="2172"/>
      <c r="H204" s="2039"/>
      <c r="I204" s="2039"/>
      <c r="J204" s="2039"/>
      <c r="K204" s="2039"/>
      <c r="L204" s="2039"/>
      <c r="M204" s="2039"/>
      <c r="O204" s="2173"/>
    </row>
    <row r="205" spans="2:15" x14ac:dyDescent="0.25">
      <c r="B205" s="2172"/>
      <c r="C205" s="2009">
        <v>17</v>
      </c>
      <c r="D205" s="2021" t="s">
        <v>1217</v>
      </c>
      <c r="E205" s="2021"/>
      <c r="F205" s="2022"/>
      <c r="G205" s="2023"/>
      <c r="H205" s="2023"/>
      <c r="I205" s="2023"/>
      <c r="J205" s="2023"/>
      <c r="K205" s="2023"/>
      <c r="L205" s="2023"/>
      <c r="M205" s="2024"/>
      <c r="N205" s="2076">
        <v>0</v>
      </c>
      <c r="O205" s="2173"/>
    </row>
    <row r="206" spans="2:15" ht="7.15" customHeight="1" x14ac:dyDescent="0.25">
      <c r="B206" s="2172"/>
      <c r="D206" s="2009"/>
      <c r="E206" s="2009"/>
      <c r="F206" s="2112"/>
      <c r="G206" s="2009"/>
      <c r="H206" s="2009"/>
      <c r="I206" s="2009"/>
      <c r="J206" s="2009"/>
      <c r="K206" s="2009"/>
      <c r="L206" s="2009"/>
      <c r="M206" s="2010"/>
      <c r="N206" s="2009"/>
      <c r="O206" s="2173"/>
    </row>
    <row r="207" spans="2:15" x14ac:dyDescent="0.25">
      <c r="B207" s="2172"/>
      <c r="D207" s="2708" t="s">
        <v>1218</v>
      </c>
      <c r="E207" s="2708"/>
      <c r="F207" s="2708"/>
      <c r="G207" s="2708"/>
      <c r="H207" s="2708"/>
      <c r="I207" s="2708"/>
      <c r="J207" s="2708"/>
      <c r="K207" s="2708"/>
      <c r="L207" s="2708"/>
      <c r="M207" s="2708"/>
      <c r="N207" s="2708"/>
      <c r="O207" s="2173"/>
    </row>
    <row r="208" spans="2:15" x14ac:dyDescent="0.25">
      <c r="B208" s="2172"/>
      <c r="D208" s="2708"/>
      <c r="E208" s="2708"/>
      <c r="F208" s="2708"/>
      <c r="G208" s="2708"/>
      <c r="H208" s="2708"/>
      <c r="I208" s="2708"/>
      <c r="J208" s="2708"/>
      <c r="K208" s="2708"/>
      <c r="L208" s="2708"/>
      <c r="M208" s="2708"/>
      <c r="N208" s="2708"/>
      <c r="O208" s="2173"/>
    </row>
    <row r="209" spans="2:15" x14ac:dyDescent="0.25">
      <c r="B209" s="2172"/>
      <c r="D209" s="2111"/>
      <c r="E209" s="2111"/>
      <c r="F209" s="2111"/>
      <c r="G209" s="2111"/>
      <c r="H209" s="2111"/>
      <c r="I209" s="2111"/>
      <c r="J209" s="2111"/>
      <c r="K209" s="2111"/>
      <c r="L209" s="2111"/>
      <c r="M209" s="2111"/>
      <c r="N209" s="2111"/>
      <c r="O209" s="2173"/>
    </row>
    <row r="210" spans="2:15" x14ac:dyDescent="0.25">
      <c r="B210" s="2172"/>
      <c r="D210" s="2009"/>
      <c r="E210" s="2009"/>
      <c r="F210" s="2705" t="s">
        <v>541</v>
      </c>
      <c r="G210" s="2706"/>
      <c r="H210" s="2706"/>
      <c r="I210" s="2706"/>
      <c r="J210" s="2707"/>
      <c r="K210" s="2009"/>
      <c r="L210" s="2052"/>
      <c r="M210" s="2010"/>
      <c r="N210" s="2009"/>
      <c r="O210" s="2173"/>
    </row>
    <row r="211" spans="2:15" x14ac:dyDescent="0.25">
      <c r="B211" s="2172"/>
      <c r="D211" s="2009"/>
      <c r="E211" s="2009"/>
      <c r="F211" s="2039"/>
      <c r="G211" s="2039"/>
      <c r="H211" s="2039"/>
      <c r="I211" s="2039"/>
      <c r="J211" s="2039"/>
      <c r="K211" s="2009"/>
      <c r="L211" s="2052"/>
      <c r="M211" s="2010"/>
      <c r="N211" s="2009"/>
      <c r="O211" s="2173"/>
    </row>
    <row r="212" spans="2:15" x14ac:dyDescent="0.25">
      <c r="B212" s="2172"/>
      <c r="D212" s="2009"/>
      <c r="E212" s="2009"/>
      <c r="F212" s="2039"/>
      <c r="G212" s="2039"/>
      <c r="H212" s="2039"/>
      <c r="I212" s="2039"/>
      <c r="J212" s="2039"/>
      <c r="K212" s="2009"/>
      <c r="L212" s="2052"/>
      <c r="M212" s="2010"/>
      <c r="N212" s="2009"/>
      <c r="O212" s="2173"/>
    </row>
    <row r="213" spans="2:15" x14ac:dyDescent="0.25">
      <c r="B213" s="2172"/>
      <c r="C213" s="2009">
        <v>18</v>
      </c>
      <c r="D213" s="2021" t="s">
        <v>1219</v>
      </c>
      <c r="E213" s="2021"/>
      <c r="F213" s="2022"/>
      <c r="G213" s="2023"/>
      <c r="H213" s="2023"/>
      <c r="I213" s="2023"/>
      <c r="J213" s="2023"/>
      <c r="K213" s="2023"/>
      <c r="L213" s="2023"/>
      <c r="M213" s="2024"/>
      <c r="N213" s="2076">
        <v>0</v>
      </c>
      <c r="O213" s="2173"/>
    </row>
    <row r="214" spans="2:15" ht="7.5" customHeight="1" x14ac:dyDescent="0.25">
      <c r="B214" s="2172"/>
      <c r="D214" s="2009"/>
      <c r="E214" s="2009"/>
      <c r="F214" s="2112"/>
      <c r="G214" s="2009"/>
      <c r="H214" s="2009"/>
      <c r="I214" s="2009"/>
      <c r="J214" s="2009"/>
      <c r="K214" s="2009"/>
      <c r="L214" s="2009"/>
      <c r="M214" s="2010"/>
      <c r="N214" s="2009"/>
      <c r="O214" s="2173"/>
    </row>
    <row r="215" spans="2:15" ht="26.25" customHeight="1" x14ac:dyDescent="0.25">
      <c r="B215" s="2172"/>
      <c r="D215" s="2708" t="s">
        <v>1220</v>
      </c>
      <c r="E215" s="2708"/>
      <c r="F215" s="2708"/>
      <c r="G215" s="2708"/>
      <c r="H215" s="2708"/>
      <c r="I215" s="2708"/>
      <c r="J215" s="2708"/>
      <c r="K215" s="2708"/>
      <c r="L215" s="2708"/>
      <c r="M215" s="2708"/>
      <c r="N215" s="2708"/>
      <c r="O215" s="2173"/>
    </row>
    <row r="216" spans="2:15" x14ac:dyDescent="0.25">
      <c r="B216" s="2172"/>
      <c r="D216" s="2111"/>
      <c r="E216" s="2111"/>
      <c r="F216" s="2112" t="s">
        <v>1221</v>
      </c>
      <c r="G216" s="2111"/>
      <c r="H216" s="2111"/>
      <c r="I216" s="2111"/>
      <c r="J216" s="2111"/>
      <c r="K216" s="2111"/>
      <c r="M216" s="2111"/>
      <c r="N216" s="2111"/>
      <c r="O216" s="2173"/>
    </row>
    <row r="217" spans="2:15" x14ac:dyDescent="0.25">
      <c r="B217" s="2172"/>
      <c r="F217" s="2042" t="s">
        <v>1222</v>
      </c>
      <c r="O217" s="2173"/>
    </row>
    <row r="218" spans="2:15" x14ac:dyDescent="0.25">
      <c r="B218" s="2172"/>
      <c r="F218" s="2042"/>
      <c r="O218" s="2173"/>
    </row>
    <row r="219" spans="2:15" x14ac:dyDescent="0.25">
      <c r="B219" s="2172"/>
      <c r="E219" s="2257" t="s">
        <v>151</v>
      </c>
      <c r="F219" s="2042"/>
      <c r="H219" s="2691">
        <f>'6A'!J120</f>
        <v>0</v>
      </c>
      <c r="I219" s="2692"/>
      <c r="O219" s="2173"/>
    </row>
    <row r="220" spans="2:15" ht="3.75" customHeight="1" x14ac:dyDescent="0.25">
      <c r="B220" s="2172"/>
      <c r="F220" s="2042"/>
      <c r="O220" s="2173"/>
    </row>
    <row r="221" spans="2:15" x14ac:dyDescent="0.25">
      <c r="B221" s="2172"/>
      <c r="E221" s="2257" t="s">
        <v>218</v>
      </c>
      <c r="F221" s="2042"/>
      <c r="H221" s="2691">
        <f>'6A'!J103</f>
        <v>0</v>
      </c>
      <c r="I221" s="2692"/>
      <c r="O221" s="2173"/>
    </row>
    <row r="222" spans="2:15" x14ac:dyDescent="0.25">
      <c r="B222" s="2172"/>
      <c r="O222" s="2173"/>
    </row>
    <row r="223" spans="2:15" x14ac:dyDescent="0.25">
      <c r="B223" s="2172"/>
      <c r="F223" s="2042"/>
      <c r="O223" s="2173"/>
    </row>
    <row r="224" spans="2:15" x14ac:dyDescent="0.25">
      <c r="B224" s="2172"/>
      <c r="C224" s="2009">
        <v>19</v>
      </c>
      <c r="D224" s="2021" t="s">
        <v>1223</v>
      </c>
      <c r="E224" s="2021"/>
      <c r="F224" s="2022"/>
      <c r="G224" s="2023"/>
      <c r="H224" s="2023"/>
      <c r="I224" s="2023"/>
      <c r="J224" s="2023"/>
      <c r="K224" s="2023"/>
      <c r="L224" s="2023"/>
      <c r="M224" s="2024"/>
      <c r="N224" s="2076">
        <v>0</v>
      </c>
      <c r="O224" s="2173"/>
    </row>
    <row r="225" spans="2:15" ht="7.5" customHeight="1" x14ac:dyDescent="0.25">
      <c r="B225" s="2172"/>
      <c r="D225" s="2009"/>
      <c r="E225" s="2009"/>
      <c r="F225" s="2112"/>
      <c r="G225" s="2009"/>
      <c r="H225" s="2009"/>
      <c r="I225" s="2009"/>
      <c r="J225" s="2009"/>
      <c r="K225" s="2009"/>
      <c r="L225" s="2009"/>
      <c r="M225" s="2010"/>
      <c r="N225" s="2009"/>
      <c r="O225" s="2173"/>
    </row>
    <row r="226" spans="2:15" ht="15" customHeight="1" x14ac:dyDescent="0.25">
      <c r="B226" s="2172"/>
      <c r="D226" s="2708" t="s">
        <v>1224</v>
      </c>
      <c r="E226" s="2708"/>
      <c r="F226" s="2708"/>
      <c r="G226" s="2708"/>
      <c r="H226" s="2708"/>
      <c r="I226" s="2708"/>
      <c r="J226" s="2708"/>
      <c r="K226" s="2708"/>
      <c r="L226" s="2708"/>
      <c r="M226" s="2708"/>
      <c r="N226" s="2708"/>
      <c r="O226" s="2173"/>
    </row>
    <row r="227" spans="2:15" x14ac:dyDescent="0.25">
      <c r="B227" s="2172"/>
      <c r="D227" s="2708"/>
      <c r="E227" s="2708"/>
      <c r="F227" s="2708"/>
      <c r="G227" s="2708"/>
      <c r="H227" s="2708"/>
      <c r="I227" s="2708"/>
      <c r="J227" s="2708"/>
      <c r="K227" s="2708"/>
      <c r="L227" s="2708"/>
      <c r="M227" s="2708"/>
      <c r="N227" s="2708"/>
      <c r="O227" s="2173"/>
    </row>
    <row r="228" spans="2:15" x14ac:dyDescent="0.25">
      <c r="B228" s="2172"/>
      <c r="D228" s="2111"/>
      <c r="E228" s="2111"/>
      <c r="F228" s="2111"/>
      <c r="G228" s="2111"/>
      <c r="H228" s="2111"/>
      <c r="I228" s="2111"/>
      <c r="J228" s="2111"/>
      <c r="K228" s="2111"/>
      <c r="L228" s="2111"/>
      <c r="M228" s="2111"/>
      <c r="N228" s="2111"/>
      <c r="O228" s="2173"/>
    </row>
    <row r="229" spans="2:15" x14ac:dyDescent="0.25">
      <c r="B229" s="2172"/>
      <c r="D229" s="2111"/>
      <c r="E229" s="2111"/>
      <c r="F229" s="2111"/>
      <c r="G229" s="2111"/>
      <c r="H229" s="2111"/>
      <c r="I229" s="2111"/>
      <c r="J229" s="2111"/>
      <c r="K229" s="2111"/>
      <c r="L229" s="2111"/>
      <c r="M229" s="2111"/>
      <c r="N229" s="2111"/>
      <c r="O229" s="2173"/>
    </row>
    <row r="230" spans="2:15" x14ac:dyDescent="0.25">
      <c r="B230" s="2172"/>
      <c r="C230" s="2009">
        <v>20</v>
      </c>
      <c r="D230" s="2021" t="s">
        <v>1225</v>
      </c>
      <c r="E230" s="2021"/>
      <c r="F230" s="2022"/>
      <c r="G230" s="2023"/>
      <c r="H230" s="2023"/>
      <c r="I230" s="2023"/>
      <c r="J230" s="2023"/>
      <c r="K230" s="2023"/>
      <c r="L230" s="2023"/>
      <c r="M230" s="2024"/>
      <c r="N230" s="2076">
        <v>0</v>
      </c>
      <c r="O230" s="2173"/>
    </row>
    <row r="231" spans="2:15" ht="7.5" customHeight="1" x14ac:dyDescent="0.25">
      <c r="B231" s="2172"/>
      <c r="D231" s="2009"/>
      <c r="E231" s="2009"/>
      <c r="F231" s="2112"/>
      <c r="G231" s="2009"/>
      <c r="H231" s="2009"/>
      <c r="I231" s="2009"/>
      <c r="J231" s="2009"/>
      <c r="K231" s="2009"/>
      <c r="L231" s="2009"/>
      <c r="M231" s="2010"/>
      <c r="N231" s="2009"/>
      <c r="O231" s="2173"/>
    </row>
    <row r="232" spans="2:15" ht="15" customHeight="1" x14ac:dyDescent="0.25">
      <c r="B232" s="2172"/>
      <c r="D232" s="2112" t="s">
        <v>1226</v>
      </c>
      <c r="E232" s="2112"/>
      <c r="F232" s="2112"/>
      <c r="G232" s="2112"/>
      <c r="H232" s="2112"/>
      <c r="I232" s="2112"/>
      <c r="J232" s="2112"/>
      <c r="K232" s="2112"/>
      <c r="L232" s="2112"/>
      <c r="M232" s="2112"/>
      <c r="N232" s="2112"/>
      <c r="O232" s="2173"/>
    </row>
    <row r="233" spans="2:15" x14ac:dyDescent="0.25">
      <c r="B233" s="2172"/>
      <c r="D233" s="2111"/>
      <c r="E233" s="2111"/>
      <c r="F233" s="2111"/>
      <c r="G233" s="2111"/>
      <c r="H233" s="2111"/>
      <c r="I233" s="2111"/>
      <c r="J233" s="2111"/>
      <c r="K233" s="2111"/>
      <c r="L233" s="2111"/>
      <c r="M233" s="2111"/>
      <c r="N233" s="2111"/>
      <c r="O233" s="2173"/>
    </row>
    <row r="234" spans="2:15" x14ac:dyDescent="0.25">
      <c r="B234" s="2172"/>
      <c r="C234" s="2009" t="s">
        <v>1681</v>
      </c>
      <c r="D234" s="2021" t="s">
        <v>1227</v>
      </c>
      <c r="E234" s="2021"/>
      <c r="F234" s="2022"/>
      <c r="G234" s="2023"/>
      <c r="H234" s="2023"/>
      <c r="I234" s="2023"/>
      <c r="J234" s="2023"/>
      <c r="K234" s="2023"/>
      <c r="L234" s="2023"/>
      <c r="M234" s="2024"/>
      <c r="N234" s="2018">
        <f>IF(L249&lt;&gt;0,(IF(L259="Yes",1,0)),0)</f>
        <v>0</v>
      </c>
      <c r="O234" s="2173"/>
    </row>
    <row r="235" spans="2:15" ht="7.5" customHeight="1" x14ac:dyDescent="0.25">
      <c r="B235" s="2172"/>
      <c r="D235" s="2009"/>
      <c r="E235" s="2009"/>
      <c r="F235" s="2112"/>
      <c r="G235" s="2009"/>
      <c r="H235" s="2009"/>
      <c r="I235" s="2009"/>
      <c r="J235" s="2009"/>
      <c r="K235" s="2009"/>
      <c r="L235" s="2009"/>
      <c r="M235" s="2010"/>
      <c r="N235" s="2009"/>
      <c r="O235" s="2173"/>
    </row>
    <row r="236" spans="2:15" ht="15" customHeight="1" x14ac:dyDescent="0.25">
      <c r="B236" s="2172"/>
      <c r="D236" s="2727" t="s">
        <v>1228</v>
      </c>
      <c r="E236" s="2727"/>
      <c r="F236" s="2727"/>
      <c r="G236" s="2727"/>
      <c r="H236" s="2727"/>
      <c r="I236" s="2727"/>
      <c r="J236" s="2727"/>
      <c r="K236" s="2727"/>
      <c r="L236" s="2727"/>
      <c r="M236" s="2727"/>
      <c r="N236" s="2727"/>
      <c r="O236" s="2173"/>
    </row>
    <row r="237" spans="2:15" x14ac:dyDescent="0.25">
      <c r="B237" s="2172"/>
      <c r="D237" s="2112"/>
      <c r="E237" s="2112"/>
      <c r="F237" s="2112"/>
      <c r="G237" s="2112"/>
      <c r="H237" s="2112"/>
      <c r="I237" s="2112"/>
      <c r="J237" s="2112"/>
      <c r="K237" s="2112"/>
      <c r="L237" s="2112"/>
      <c r="M237" s="2112"/>
      <c r="N237" s="2111"/>
      <c r="O237" s="2173"/>
    </row>
    <row r="238" spans="2:15" x14ac:dyDescent="0.25">
      <c r="B238" s="2172"/>
      <c r="D238" s="2112" t="s">
        <v>1743</v>
      </c>
      <c r="F238" s="2112"/>
      <c r="G238" s="2112"/>
      <c r="H238" s="2112"/>
      <c r="I238" s="2734" t="s">
        <v>1577</v>
      </c>
      <c r="J238" s="2735"/>
      <c r="K238" s="2112"/>
      <c r="L238" s="2112"/>
      <c r="M238" s="2112"/>
      <c r="N238" s="2111"/>
      <c r="O238" s="2173"/>
    </row>
    <row r="239" spans="2:15" x14ac:dyDescent="0.25">
      <c r="B239" s="2172"/>
      <c r="D239" s="2112"/>
      <c r="F239" s="2112"/>
      <c r="G239" s="2112"/>
      <c r="H239" s="2112"/>
      <c r="I239" s="2112"/>
      <c r="J239" s="2112"/>
      <c r="K239" s="2112"/>
      <c r="L239" s="2112"/>
      <c r="M239" s="2112"/>
      <c r="N239" s="2111"/>
      <c r="O239" s="2173"/>
    </row>
    <row r="240" spans="2:15" x14ac:dyDescent="0.25">
      <c r="B240" s="2172"/>
      <c r="F240" s="2112"/>
      <c r="G240" s="2112"/>
      <c r="H240" s="2010" t="s">
        <v>39</v>
      </c>
      <c r="I240" s="2010" t="s">
        <v>1752</v>
      </c>
      <c r="J240" s="2010" t="s">
        <v>1753</v>
      </c>
      <c r="K240" s="2010" t="s">
        <v>1754</v>
      </c>
      <c r="L240" s="2010" t="s">
        <v>1755</v>
      </c>
      <c r="M240" s="2112"/>
      <c r="N240" s="2111"/>
      <c r="O240" s="2173"/>
    </row>
    <row r="241" spans="2:15" x14ac:dyDescent="0.25">
      <c r="B241" s="2172"/>
      <c r="D241" s="2112" t="s">
        <v>1744</v>
      </c>
      <c r="F241" s="2112"/>
      <c r="G241" s="2064"/>
      <c r="H241" s="2011">
        <f>'8A'!E48+'8A'!F48</f>
        <v>0</v>
      </c>
      <c r="I241" s="2011">
        <f>'8A'!G48</f>
        <v>0</v>
      </c>
      <c r="J241" s="2011">
        <f>'8A'!H48</f>
        <v>0</v>
      </c>
      <c r="K241" s="2011">
        <f>'8A'!I48</f>
        <v>0</v>
      </c>
      <c r="L241" s="2011">
        <f>'8A'!J48+'8A'!K48</f>
        <v>0</v>
      </c>
      <c r="M241" s="2112"/>
      <c r="N241" s="2111"/>
      <c r="O241" s="2173"/>
    </row>
    <row r="242" spans="2:15" ht="7.5" customHeight="1" x14ac:dyDescent="0.25">
      <c r="B242" s="2172"/>
      <c r="D242" s="2112"/>
      <c r="F242" s="2112"/>
      <c r="G242" s="2112"/>
      <c r="H242" s="2063"/>
      <c r="I242" s="2063"/>
      <c r="J242" s="2063"/>
      <c r="K242" s="2063"/>
      <c r="L242" s="2063"/>
      <c r="M242" s="2112"/>
      <c r="N242" s="2111"/>
      <c r="O242" s="2173"/>
    </row>
    <row r="243" spans="2:15" x14ac:dyDescent="0.25">
      <c r="B243" s="2172"/>
      <c r="D243" s="2112" t="s">
        <v>1745</v>
      </c>
      <c r="F243" s="2112"/>
      <c r="G243" s="2072"/>
      <c r="H243" s="2013">
        <f>IF(I238="King County",Tax_Credit_Numbers!C9,IF(I238="Pierce/Snohomish",Tax_Credit_Numbers!C10,IF(I238="Metro Counties",Tax_Credit_Numbers!C11,IF(I238="Balance of State",Tax_Credit_Numbers!C12, IF(I238="Select from List",0)))))</f>
        <v>0</v>
      </c>
      <c r="I243" s="2013">
        <f>IF(I238="King County",Tax_Credit_Numbers!D9,IF(I238="Pierce/Snohomish",Tax_Credit_Numbers!D10,IF(I238="Metro Counties",Tax_Credit_Numbers!D11,IF(I238="Balance of State",Tax_Credit_Numbers!D12, IF(I238="Select from List",0)))))</f>
        <v>0</v>
      </c>
      <c r="J243" s="2013">
        <f>IF(I238="King County",Tax_Credit_Numbers!E9,IF(I238="Pierce/Snohomish",Tax_Credit_Numbers!E10,IF(I238="Metro Counties",Tax_Credit_Numbers!E11,IF(I238="Balance of State",Tax_Credit_Numbers!E12, IF(I238="Select from List",0)))))</f>
        <v>0</v>
      </c>
      <c r="K243" s="2013">
        <f>IF(I238="King County",Tax_Credit_Numbers!F9,IF(I238="Pierce/Snohomish",Tax_Credit_Numbers!F10,IF(I238="Metro Counties",Tax_Credit_Numbers!F11,IF(I238="Balance of State",Tax_Credit_Numbers!F12, IF(I238="Select from List",0)))))</f>
        <v>0</v>
      </c>
      <c r="L243" s="2013">
        <f>IF(I238="King County",Tax_Credit_Numbers!G9,IF(I238="Pierce/Snohomish",Tax_Credit_Numbers!G10,IF(I238="Metro Counties",Tax_Credit_Numbers!G11,IF(I238="Balance of State",Tax_Credit_Numbers!G12, IF(I238="Select from List",0)))))</f>
        <v>0</v>
      </c>
      <c r="M243" s="2112"/>
      <c r="N243" s="2111"/>
      <c r="O243" s="2173"/>
    </row>
    <row r="244" spans="2:15" ht="7.5" customHeight="1" x14ac:dyDescent="0.25">
      <c r="B244" s="2172"/>
      <c r="D244" s="2112"/>
      <c r="F244" s="2112"/>
      <c r="G244" s="2112"/>
      <c r="H244" s="2065"/>
      <c r="I244" s="2065"/>
      <c r="J244" s="2065"/>
      <c r="K244" s="2065"/>
      <c r="L244" s="2065"/>
      <c r="M244" s="2112"/>
      <c r="N244" s="2111"/>
      <c r="O244" s="2173"/>
    </row>
    <row r="245" spans="2:15" x14ac:dyDescent="0.25">
      <c r="B245" s="2172"/>
      <c r="D245" s="2112" t="s">
        <v>1746</v>
      </c>
      <c r="F245" s="2112"/>
      <c r="G245" s="2072"/>
      <c r="H245" s="2014">
        <f>H243*H241</f>
        <v>0</v>
      </c>
      <c r="I245" s="2014">
        <f t="shared" ref="I245:K245" si="0">I243*I241</f>
        <v>0</v>
      </c>
      <c r="J245" s="2014">
        <f t="shared" si="0"/>
        <v>0</v>
      </c>
      <c r="K245" s="2014">
        <f t="shared" si="0"/>
        <v>0</v>
      </c>
      <c r="L245" s="2014">
        <f>L243*L241</f>
        <v>0</v>
      </c>
      <c r="M245" s="2112"/>
      <c r="N245" s="2111"/>
      <c r="O245" s="2173"/>
    </row>
    <row r="246" spans="2:15" ht="7.5" customHeight="1" thickBot="1" x14ac:dyDescent="0.3">
      <c r="B246" s="2172"/>
      <c r="D246" s="2112"/>
      <c r="F246" s="2112"/>
      <c r="G246" s="2112"/>
      <c r="H246" s="2066"/>
      <c r="I246" s="2066"/>
      <c r="J246" s="2066"/>
      <c r="K246" s="2066"/>
      <c r="L246" s="2066"/>
      <c r="M246" s="2112"/>
      <c r="N246" s="2111"/>
      <c r="O246" s="2173"/>
    </row>
    <row r="247" spans="2:15" ht="16.5" thickTop="1" thickBot="1" x14ac:dyDescent="0.3">
      <c r="B247" s="2172"/>
      <c r="F247" s="2112"/>
      <c r="G247" s="2112"/>
      <c r="I247" s="2112" t="s">
        <v>1747</v>
      </c>
      <c r="J247" s="2112"/>
      <c r="K247" s="2112"/>
      <c r="L247" s="2012">
        <f>SUM(H245:L245)</f>
        <v>0</v>
      </c>
      <c r="M247" s="2112"/>
      <c r="N247" s="2111"/>
      <c r="O247" s="2173"/>
    </row>
    <row r="248" spans="2:15" ht="7.5" customHeight="1" thickTop="1" x14ac:dyDescent="0.25">
      <c r="B248" s="2172"/>
      <c r="D248" s="2112"/>
      <c r="F248" s="2112"/>
      <c r="G248" s="2112"/>
      <c r="H248" s="2112"/>
      <c r="I248" s="2112"/>
      <c r="J248" s="2112"/>
      <c r="K248" s="2112"/>
      <c r="L248" s="2112"/>
      <c r="M248" s="2112"/>
      <c r="N248" s="2111"/>
      <c r="O248" s="2173"/>
    </row>
    <row r="249" spans="2:15" x14ac:dyDescent="0.25">
      <c r="B249" s="2172"/>
      <c r="F249" s="2112"/>
      <c r="G249" s="2112"/>
      <c r="H249" s="2112"/>
      <c r="I249" s="2112" t="s">
        <v>238</v>
      </c>
      <c r="J249" s="2112"/>
      <c r="K249" s="2112"/>
      <c r="L249" s="2015">
        <f>'6A'!K120</f>
        <v>0</v>
      </c>
      <c r="M249" s="2112"/>
      <c r="N249" s="2111"/>
      <c r="O249" s="2173"/>
    </row>
    <row r="250" spans="2:15" ht="3.75" customHeight="1" x14ac:dyDescent="0.25">
      <c r="B250" s="2172"/>
      <c r="F250" s="2112"/>
      <c r="G250" s="2112"/>
      <c r="H250" s="2112"/>
      <c r="I250" s="2112"/>
      <c r="J250" s="2112"/>
      <c r="K250" s="2112"/>
      <c r="L250" s="2112"/>
      <c r="M250" s="2112"/>
      <c r="N250" s="2111"/>
      <c r="O250" s="2173"/>
    </row>
    <row r="251" spans="2:15" x14ac:dyDescent="0.25">
      <c r="B251" s="2172"/>
      <c r="F251" s="2112"/>
      <c r="G251" s="2112"/>
      <c r="H251" s="2112"/>
      <c r="I251" s="2112" t="s">
        <v>1748</v>
      </c>
      <c r="J251" s="2112"/>
      <c r="K251" s="2112"/>
      <c r="L251" s="2016">
        <f>'6A'!K22</f>
        <v>0</v>
      </c>
      <c r="M251" s="2112"/>
      <c r="N251" s="2111"/>
      <c r="O251" s="2173"/>
    </row>
    <row r="252" spans="2:15" ht="3.75" customHeight="1" x14ac:dyDescent="0.25">
      <c r="B252" s="2172"/>
      <c r="F252" s="2112"/>
      <c r="G252" s="2112"/>
      <c r="H252" s="2112"/>
      <c r="I252" s="2112"/>
      <c r="J252" s="2112"/>
      <c r="K252" s="2112"/>
      <c r="L252" s="2063"/>
      <c r="M252" s="2112"/>
      <c r="N252" s="2111"/>
      <c r="O252" s="2173"/>
    </row>
    <row r="253" spans="2:15" x14ac:dyDescent="0.25">
      <c r="B253" s="2172"/>
      <c r="F253" s="2112"/>
      <c r="G253" s="2112"/>
      <c r="H253" s="2112"/>
      <c r="I253" s="2112" t="s">
        <v>1749</v>
      </c>
      <c r="J253" s="2112"/>
      <c r="K253" s="2072"/>
      <c r="L253" s="2016">
        <f>'6A'!K40</f>
        <v>0</v>
      </c>
      <c r="M253" s="2112"/>
      <c r="N253" s="2111"/>
      <c r="O253" s="2173"/>
    </row>
    <row r="254" spans="2:15" ht="3.75" customHeight="1" x14ac:dyDescent="0.25">
      <c r="B254" s="2172"/>
      <c r="F254" s="2112"/>
      <c r="G254" s="2112"/>
      <c r="H254" s="2112"/>
      <c r="I254" s="2112"/>
      <c r="J254" s="2112"/>
      <c r="K254" s="2112"/>
      <c r="L254" s="2065"/>
      <c r="M254" s="2112"/>
      <c r="N254" s="2111"/>
      <c r="O254" s="2173"/>
    </row>
    <row r="255" spans="2:15" x14ac:dyDescent="0.25">
      <c r="B255" s="2172"/>
      <c r="F255" s="2112"/>
      <c r="G255" s="2112"/>
      <c r="H255" s="2112"/>
      <c r="I255" s="2112" t="s">
        <v>1750</v>
      </c>
      <c r="J255" s="2112"/>
      <c r="K255" s="2072"/>
      <c r="L255" s="2016">
        <f>'6A'!K93</f>
        <v>0</v>
      </c>
      <c r="M255" s="2112"/>
      <c r="N255" s="2111"/>
      <c r="O255" s="2173"/>
    </row>
    <row r="256" spans="2:15" ht="3.75" customHeight="1" thickBot="1" x14ac:dyDescent="0.3">
      <c r="B256" s="2172"/>
      <c r="F256" s="2112"/>
      <c r="G256" s="2112"/>
      <c r="H256" s="2112"/>
      <c r="I256" s="2112"/>
      <c r="J256" s="2112"/>
      <c r="K256" s="2112"/>
      <c r="L256" s="2112"/>
      <c r="M256" s="2112"/>
      <c r="N256" s="2111"/>
      <c r="O256" s="2173"/>
    </row>
    <row r="257" spans="2:15" ht="15.75" thickTop="1" x14ac:dyDescent="0.25">
      <c r="B257" s="2172"/>
      <c r="F257" s="2112"/>
      <c r="G257" s="2112"/>
      <c r="H257" s="2112"/>
      <c r="I257" s="2070" t="s">
        <v>1751</v>
      </c>
      <c r="J257" s="2070"/>
      <c r="K257" s="2071"/>
      <c r="L257" s="2017">
        <f>L249-(L251+L253+L255)</f>
        <v>0</v>
      </c>
      <c r="M257" s="2112"/>
      <c r="N257" s="2111"/>
      <c r="O257" s="2173"/>
    </row>
    <row r="258" spans="2:15" ht="7.5" customHeight="1" thickBot="1" x14ac:dyDescent="0.3">
      <c r="B258" s="2172"/>
      <c r="D258" s="2112"/>
      <c r="E258" s="2112"/>
      <c r="F258" s="2112"/>
      <c r="G258" s="2112"/>
      <c r="H258" s="2112"/>
      <c r="I258" s="2112"/>
      <c r="J258" s="2112"/>
      <c r="K258" s="2112"/>
      <c r="L258" s="2066"/>
      <c r="M258" s="2112"/>
      <c r="N258" s="2111"/>
      <c r="O258" s="2173"/>
    </row>
    <row r="259" spans="2:15" ht="16.5" thickTop="1" thickBot="1" x14ac:dyDescent="0.3">
      <c r="B259" s="2172"/>
      <c r="D259" s="2067" t="s">
        <v>1756</v>
      </c>
      <c r="E259" s="2068"/>
      <c r="F259" s="2068"/>
      <c r="G259" s="2068"/>
      <c r="H259" s="2068"/>
      <c r="I259" s="2068"/>
      <c r="J259" s="2068"/>
      <c r="K259" s="2068"/>
      <c r="L259" s="2069" t="str">
        <f>IF(L257&gt;L247,"NO","YES")</f>
        <v>YES</v>
      </c>
      <c r="M259" s="2112"/>
      <c r="N259" s="2111"/>
      <c r="O259" s="2173"/>
    </row>
    <row r="260" spans="2:15" ht="7.5" customHeight="1" thickTop="1" x14ac:dyDescent="0.25">
      <c r="B260" s="2172"/>
      <c r="D260" s="2063"/>
      <c r="E260" s="2063"/>
      <c r="F260" s="2063"/>
      <c r="G260" s="2063"/>
      <c r="H260" s="2063"/>
      <c r="I260" s="2063"/>
      <c r="J260" s="2063"/>
      <c r="K260" s="2063"/>
      <c r="L260" s="2063"/>
      <c r="M260" s="2112"/>
      <c r="N260" s="2111"/>
      <c r="O260" s="2173"/>
    </row>
    <row r="261" spans="2:15" x14ac:dyDescent="0.25">
      <c r="B261" s="2172"/>
      <c r="D261" s="2051" t="s">
        <v>1229</v>
      </c>
      <c r="E261" s="2051"/>
      <c r="L261" s="2058">
        <f>IFERROR((1-(L247/L257)),0)</f>
        <v>0</v>
      </c>
      <c r="O261" s="2173"/>
    </row>
    <row r="262" spans="2:15" ht="15" customHeight="1" thickBot="1" x14ac:dyDescent="0.3">
      <c r="B262" s="2172"/>
      <c r="O262" s="2173"/>
    </row>
    <row r="263" spans="2:15" ht="19.5" customHeight="1" thickTop="1" thickBot="1" x14ac:dyDescent="0.3">
      <c r="B263" s="2172"/>
      <c r="C263" s="2053"/>
      <c r="D263" s="2054" t="s">
        <v>1230</v>
      </c>
      <c r="E263" s="2055"/>
      <c r="F263" s="2056"/>
      <c r="G263" s="2053"/>
      <c r="H263" s="2053"/>
      <c r="I263" s="2053"/>
      <c r="J263" s="2053"/>
      <c r="K263" s="2053"/>
      <c r="L263" s="2053"/>
      <c r="M263" s="2053"/>
      <c r="N263" s="2060">
        <f>N21+N39+N45+N71+N104+N112+N120+N127+N138+N151+N159+N166+N174+N182+N190+N198+N205+N213+N224+N230+N234</f>
        <v>0</v>
      </c>
      <c r="O263" s="2173"/>
    </row>
    <row r="264" spans="2:15" ht="15.75" thickTop="1" x14ac:dyDescent="0.25">
      <c r="B264" s="2172"/>
      <c r="O264" s="2173"/>
    </row>
    <row r="265" spans="2:15" x14ac:dyDescent="0.25">
      <c r="B265" s="2172"/>
      <c r="C265" s="2009" t="s">
        <v>1683</v>
      </c>
      <c r="D265" s="2021" t="s">
        <v>1227</v>
      </c>
      <c r="E265" s="2021"/>
      <c r="F265" s="2022"/>
      <c r="G265" s="2023"/>
      <c r="H265" s="2023"/>
      <c r="I265" s="2023"/>
      <c r="J265" s="2023"/>
      <c r="K265" s="2023"/>
      <c r="L265" s="2023"/>
      <c r="M265" s="2024"/>
      <c r="N265" s="2076">
        <v>0</v>
      </c>
      <c r="O265" s="2173"/>
    </row>
    <row r="266" spans="2:15" ht="7.5" customHeight="1" x14ac:dyDescent="0.25">
      <c r="B266" s="2172"/>
      <c r="D266" s="2009"/>
      <c r="E266" s="2009"/>
      <c r="F266" s="2112"/>
      <c r="G266" s="2009"/>
      <c r="H266" s="2009"/>
      <c r="I266" s="2009"/>
      <c r="J266" s="2009"/>
      <c r="K266" s="2009"/>
      <c r="L266" s="2009"/>
      <c r="M266" s="2010"/>
      <c r="N266" s="2009"/>
      <c r="O266" s="2173"/>
    </row>
    <row r="267" spans="2:15" ht="15" customHeight="1" x14ac:dyDescent="0.25">
      <c r="B267" s="2172"/>
      <c r="D267" s="2727" t="s">
        <v>1231</v>
      </c>
      <c r="E267" s="2727"/>
      <c r="F267" s="2727"/>
      <c r="G267" s="2727"/>
      <c r="H267" s="2727"/>
      <c r="I267" s="2727"/>
      <c r="J267" s="2727"/>
      <c r="K267" s="2727"/>
      <c r="L267" s="2727"/>
      <c r="M267" s="2727"/>
      <c r="N267" s="2727"/>
      <c r="O267" s="2173"/>
    </row>
    <row r="268" spans="2:15" x14ac:dyDescent="0.25">
      <c r="B268" s="2172"/>
      <c r="D268" s="2111"/>
      <c r="E268" s="2111"/>
      <c r="F268" s="2111"/>
      <c r="G268" s="2111"/>
      <c r="H268" s="2111"/>
      <c r="I268" s="2111"/>
      <c r="J268" s="2111"/>
      <c r="K268" s="2111"/>
      <c r="L268" s="2111"/>
      <c r="M268" s="2111"/>
      <c r="N268" s="2111"/>
      <c r="O268" s="2173"/>
    </row>
    <row r="269" spans="2:15" x14ac:dyDescent="0.25">
      <c r="B269" s="2172"/>
      <c r="D269" s="2051" t="s">
        <v>1682</v>
      </c>
      <c r="E269" s="2051"/>
      <c r="L269" s="2059">
        <f>L257</f>
        <v>0</v>
      </c>
      <c r="O269" s="2173"/>
    </row>
    <row r="270" spans="2:15" x14ac:dyDescent="0.25">
      <c r="B270" s="2172"/>
      <c r="D270" s="2051" t="s">
        <v>1684</v>
      </c>
      <c r="E270" s="2051"/>
      <c r="L270" s="2093">
        <f>'2B'!K34</f>
        <v>0</v>
      </c>
      <c r="O270" s="2173"/>
    </row>
    <row r="271" spans="2:15" x14ac:dyDescent="0.25">
      <c r="B271" s="2172"/>
      <c r="D271" s="2051" t="s">
        <v>1232</v>
      </c>
      <c r="E271" s="2051"/>
      <c r="L271" s="2094">
        <f>IFERROR((L269/L270),0)</f>
        <v>0</v>
      </c>
      <c r="O271" s="2173"/>
    </row>
    <row r="272" spans="2:15" ht="15.75" thickBot="1" x14ac:dyDescent="0.3">
      <c r="B272" s="2172"/>
      <c r="O272" s="2173"/>
    </row>
    <row r="273" spans="2:15" ht="19.5" customHeight="1" thickTop="1" thickBot="1" x14ac:dyDescent="0.3">
      <c r="B273" s="2172"/>
      <c r="C273" s="2053"/>
      <c r="D273" s="2054" t="s">
        <v>1233</v>
      </c>
      <c r="E273" s="2055"/>
      <c r="F273" s="2056"/>
      <c r="G273" s="2053"/>
      <c r="H273" s="2053"/>
      <c r="I273" s="2053"/>
      <c r="J273" s="2053"/>
      <c r="K273" s="2053"/>
      <c r="L273" s="2053"/>
      <c r="M273" s="2053"/>
      <c r="N273" s="2060">
        <f>N263+N265</f>
        <v>0</v>
      </c>
      <c r="O273" s="2173"/>
    </row>
    <row r="274" spans="2:15" ht="16.5" thickTop="1" thickBot="1" x14ac:dyDescent="0.3">
      <c r="B274" s="2177"/>
      <c r="C274" s="2178"/>
      <c r="D274" s="2178"/>
      <c r="E274" s="2178"/>
      <c r="F274" s="2178"/>
      <c r="G274" s="2178"/>
      <c r="H274" s="2178"/>
      <c r="I274" s="2178"/>
      <c r="J274" s="2178"/>
      <c r="K274" s="2178"/>
      <c r="L274" s="2178"/>
      <c r="M274" s="2178"/>
      <c r="N274" s="2178"/>
      <c r="O274" s="2179"/>
    </row>
  </sheetData>
  <sheetProtection algorithmName="SHA-512" hashValue="sUEQSkY3Jf2CLmr7gEOBY3NVrjmIntWHARK/EmkthmZTVwW5g7lC4gEWJgzEYR/cHNXiS2vVBKZtcHWTi93yww==" saltValue="nEbV16axsdz3byAMkQjfmw==" spinCount="100000" sheet="1" objects="1" scenarios="1"/>
  <mergeCells count="66">
    <mergeCell ref="C15:N15"/>
    <mergeCell ref="C17:N17"/>
    <mergeCell ref="D226:N227"/>
    <mergeCell ref="D236:N236"/>
    <mergeCell ref="D267:N267"/>
    <mergeCell ref="J132:M133"/>
    <mergeCell ref="I238:J238"/>
    <mergeCell ref="D200:N200"/>
    <mergeCell ref="H202:J202"/>
    <mergeCell ref="L202:M202"/>
    <mergeCell ref="D207:N208"/>
    <mergeCell ref="F210:J210"/>
    <mergeCell ref="D215:N215"/>
    <mergeCell ref="D176:N177"/>
    <mergeCell ref="H179:M179"/>
    <mergeCell ref="D184:N185"/>
    <mergeCell ref="H187:M187"/>
    <mergeCell ref="D192:N193"/>
    <mergeCell ref="H195:M195"/>
    <mergeCell ref="D153:N153"/>
    <mergeCell ref="H155:J155"/>
    <mergeCell ref="D161:N161"/>
    <mergeCell ref="H163:M163"/>
    <mergeCell ref="D168:N169"/>
    <mergeCell ref="H171:M171"/>
    <mergeCell ref="G145:L146"/>
    <mergeCell ref="J116:M116"/>
    <mergeCell ref="J117:M117"/>
    <mergeCell ref="J118:M118"/>
    <mergeCell ref="F124:G124"/>
    <mergeCell ref="D129:N129"/>
    <mergeCell ref="J134:M134"/>
    <mergeCell ref="J135:M135"/>
    <mergeCell ref="J136:M136"/>
    <mergeCell ref="D140:N140"/>
    <mergeCell ref="F142:N142"/>
    <mergeCell ref="F56:N56"/>
    <mergeCell ref="F61:N61"/>
    <mergeCell ref="D106:N106"/>
    <mergeCell ref="H80:M80"/>
    <mergeCell ref="H81:M81"/>
    <mergeCell ref="H83:M83"/>
    <mergeCell ref="H84:M84"/>
    <mergeCell ref="H86:M86"/>
    <mergeCell ref="H87:M87"/>
    <mergeCell ref="H89:M89"/>
    <mergeCell ref="H90:M90"/>
    <mergeCell ref="H92:M92"/>
    <mergeCell ref="H93:M93"/>
    <mergeCell ref="H99:M99"/>
    <mergeCell ref="H221:I221"/>
    <mergeCell ref="H219:I219"/>
    <mergeCell ref="M19:M20"/>
    <mergeCell ref="N19:N20"/>
    <mergeCell ref="I24:N24"/>
    <mergeCell ref="I25:N25"/>
    <mergeCell ref="H78:M78"/>
    <mergeCell ref="I27:N27"/>
    <mergeCell ref="I28:N28"/>
    <mergeCell ref="F63:N63"/>
    <mergeCell ref="D73:N73"/>
    <mergeCell ref="L75:M75"/>
    <mergeCell ref="H77:M77"/>
    <mergeCell ref="F43:G43"/>
    <mergeCell ref="D47:N47"/>
    <mergeCell ref="F50:N50"/>
  </mergeCells>
  <dataValidations count="24">
    <dataValidation operator="notBetween" allowBlank="1" showInputMessage="1" error="Award must be at least $750,000." sqref="L108:L109" xr:uid="{00000000-0002-0000-2300-000000000000}"/>
    <dataValidation operator="notBetween" allowBlank="1" showInputMessage="1" error="." sqref="L110" xr:uid="{00000000-0002-0000-2300-000001000000}"/>
    <dataValidation type="list" allowBlank="1" showInputMessage="1" showErrorMessage="1" sqref="H99:M99" xr:uid="{00000000-0002-0000-2300-000002000000}">
      <formula1>Leveraging_Points</formula1>
    </dataValidation>
    <dataValidation type="list" allowBlank="1" showInputMessage="1" showErrorMessage="1" sqref="H195:M195" xr:uid="{00000000-0002-0000-2300-000003000000}">
      <formula1>KC_OppArea</formula1>
    </dataValidation>
    <dataValidation type="list" allowBlank="1" showErrorMessage="1" prompt="_x000a_" sqref="I25:N25" xr:uid="{00000000-0002-0000-2300-000004000000}">
      <formula1>Inc_Lower</formula1>
    </dataValidation>
    <dataValidation type="list" allowBlank="1" showErrorMessage="1" prompt="Select Set-Aside Combination_x000a_" sqref="I24:N24" xr:uid="{00000000-0002-0000-2300-000005000000}">
      <formula1>lower_income</formula1>
    </dataValidation>
    <dataValidation type="list" allowBlank="1" showInputMessage="1" showErrorMessage="1" sqref="L202:M202" xr:uid="{00000000-0002-0000-2300-000006000000}">
      <formula1>job_centers</formula1>
    </dataValidation>
    <dataValidation type="list" allowBlank="1" showInputMessage="1" showErrorMessage="1" sqref="H202" xr:uid="{00000000-0002-0000-2300-000007000000}">
      <formula1>in_within</formula1>
    </dataValidation>
    <dataValidation type="list" allowBlank="1" showInputMessage="1" showErrorMessage="1" sqref="H187:M187" xr:uid="{00000000-0002-0000-2300-000008000000}">
      <formula1>KC_only</formula1>
    </dataValidation>
    <dataValidation type="list" allowBlank="1" showInputMessage="1" showErrorMessage="1" sqref="H163:M163" xr:uid="{00000000-0002-0000-2300-000009000000}">
      <formula1>location_eff</formula1>
    </dataValidation>
    <dataValidation type="list" allowBlank="1" showInputMessage="1" showErrorMessage="1" sqref="H155" xr:uid="{00000000-0002-0000-2300-00000A000000}">
      <formula1>eligible_tribes</formula1>
    </dataValidation>
    <dataValidation type="list" allowBlank="1" showInputMessage="1" showErrorMessage="1" sqref="H179:M179 H171:M171" xr:uid="{00000000-0002-0000-2300-00000B000000}">
      <formula1>local_funding_counties</formula1>
    </dataValidation>
    <dataValidation type="list" allowBlank="1" showInputMessage="1" showErrorMessage="1" sqref="F61:N61 F63:N63" xr:uid="{00000000-0002-0000-2300-00000C000000}">
      <formula1>SpecNeeds20</formula1>
    </dataValidation>
    <dataValidation type="list" allowBlank="1" showInputMessage="1" showErrorMessage="1" sqref="F50:N50" xr:uid="{00000000-0002-0000-2300-00000D000000}">
      <formula1>Homeless75</formula1>
    </dataValidation>
    <dataValidation type="list" allowBlank="1" showInputMessage="1" showErrorMessage="1" sqref="F32:F35" xr:uid="{00000000-0002-0000-2300-00000E000000}">
      <formula1>Inc_percent</formula1>
    </dataValidation>
    <dataValidation type="list" allowBlank="1" showInputMessage="1" showErrorMessage="1" sqref="I28:N28" xr:uid="{00000000-0002-0000-2300-00000F000000}">
      <formula1>Inc_Higher</formula1>
    </dataValidation>
    <dataValidation type="list" allowBlank="1" showInputMessage="1" showErrorMessage="1" sqref="F142:N142" xr:uid="{00000000-0002-0000-2300-000010000000}">
      <formula1>Historic</formula1>
    </dataValidation>
    <dataValidation type="list" allowBlank="1" showInputMessage="1" showErrorMessage="1" sqref="F124:G124" xr:uid="{00000000-0002-0000-2300-000011000000}">
      <formula1>DevFees</formula1>
    </dataValidation>
    <dataValidation type="list" allowBlank="1" showInputMessage="1" showErrorMessage="1" sqref="F210:G210" xr:uid="{00000000-0002-0000-2300-000012000000}">
      <formula1>NPSponsor</formula1>
    </dataValidation>
    <dataValidation type="list" allowBlank="1" showInputMessage="1" sqref="F43:G43" xr:uid="{00000000-0002-0000-2300-000013000000}">
      <formula1>Years</formula1>
    </dataValidation>
    <dataValidation allowBlank="1" showInputMessage="1" showErrorMessage="1" promptTitle="Units with PBRA" prompt="0-10% units = 0 points_x000a_10%-25% units = 2 points_x000a_26%-49% units = 3 points_x000a_50% or more units = 4 points" sqref="N112" xr:uid="{00000000-0002-0000-2300-000014000000}"/>
    <dataValidation allowBlank="1" showInputMessage="1" showErrorMessage="1" promptTitle="At Risk of Loss or Conversion " prompt="79 units or less = 4 points_x000a_80 units or more = 6 points" sqref="N127" xr:uid="{00000000-0002-0000-2300-000015000000}"/>
    <dataValidation allowBlank="1" showInputMessage="1" showErrorMessage="1" prompt="To be completed by the Commission" sqref="N265" xr:uid="{00000000-0002-0000-2300-000016000000}"/>
    <dataValidation type="list" allowBlank="1" showInputMessage="1" showErrorMessage="1" sqref="I238" xr:uid="{00000000-0002-0000-2300-000017000000}">
      <formula1>TDC_limit</formula1>
    </dataValidation>
  </dataValidations>
  <pageMargins left="0.7" right="0.7" top="0.75" bottom="0.75" header="0.3" footer="0.3"/>
  <pageSetup scale="78" firstPageNumber="2" orientation="portrait" r:id="rId1"/>
  <headerFooter>
    <oddFooter>&amp;LForm 11A
9% LIHTC Allocation Scoring&amp;CCFA Forms</oddFooter>
  </headerFooter>
  <rowBreaks count="3" manualBreakCount="3">
    <brk id="70" min="1" max="14" man="1"/>
    <brk id="137" min="1" max="14" man="1"/>
    <brk id="203" min="1"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300-000018000000}">
          <x14:formula1>
            <xm:f>'ScoringLists (9%)'!$B$195:$B$198</xm:f>
          </x14:formula1>
          <xm:sqref>J132</xm:sqref>
        </x14:dataValidation>
        <x14:dataValidation type="list" allowBlank="1" showInputMessage="1" showErrorMessage="1" xr:uid="{00000000-0002-0000-2300-000019000000}">
          <x14:formula1>
            <xm:f>'ScoringLists (9%)'!$B$125:$B$126</xm:f>
          </x14:formula1>
          <xm:sqref>F56:N56</xm:sqref>
        </x14:dataValidation>
        <x14:dataValidation type="list" allowBlank="1" showInputMessage="1" showErrorMessage="1" xr:uid="{00000000-0002-0000-2300-00001A000000}">
          <x14:formula1>
            <xm:f>'ScoringLists (9%)'!$B$3:$B$20</xm:f>
          </x14:formula1>
          <xm:sqref>I27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B313"/>
  <sheetViews>
    <sheetView topLeftCell="A292" zoomScaleNormal="100" workbookViewId="0">
      <selection activeCell="B317" sqref="B317"/>
    </sheetView>
  </sheetViews>
  <sheetFormatPr defaultColWidth="9.140625" defaultRowHeight="15" x14ac:dyDescent="0.25"/>
  <cols>
    <col min="1" max="1" width="42" style="1837" customWidth="1"/>
    <col min="2" max="2" width="83" style="1837" bestFit="1" customWidth="1"/>
    <col min="3" max="16384" width="9.140625" style="1837"/>
  </cols>
  <sheetData>
    <row r="1" spans="1:2" x14ac:dyDescent="0.25">
      <c r="A1" s="1836"/>
    </row>
    <row r="2" spans="1:2" x14ac:dyDescent="0.25">
      <c r="A2" s="1836" t="s">
        <v>1583</v>
      </c>
      <c r="B2" s="1837" t="s">
        <v>1147</v>
      </c>
    </row>
    <row r="3" spans="1:2" x14ac:dyDescent="0.25">
      <c r="A3" s="1837" t="s">
        <v>1584</v>
      </c>
      <c r="B3" s="1837" t="s">
        <v>1234</v>
      </c>
    </row>
    <row r="4" spans="1:2" x14ac:dyDescent="0.25">
      <c r="B4" s="1837" t="s">
        <v>1235</v>
      </c>
    </row>
    <row r="5" spans="1:2" x14ac:dyDescent="0.25">
      <c r="B5" s="1837" t="s">
        <v>1236</v>
      </c>
    </row>
    <row r="6" spans="1:2" x14ac:dyDescent="0.25">
      <c r="A6" s="1836"/>
      <c r="B6" s="1837" t="s">
        <v>1237</v>
      </c>
    </row>
    <row r="7" spans="1:2" x14ac:dyDescent="0.25">
      <c r="A7" s="1836"/>
      <c r="B7" s="1837" t="s">
        <v>1262</v>
      </c>
    </row>
    <row r="8" spans="1:2" x14ac:dyDescent="0.25">
      <c r="A8" s="1836"/>
      <c r="B8" s="1837" t="s">
        <v>1238</v>
      </c>
    </row>
    <row r="9" spans="1:2" x14ac:dyDescent="0.25">
      <c r="A9" s="1836"/>
      <c r="B9" s="1837" t="s">
        <v>1264</v>
      </c>
    </row>
    <row r="10" spans="1:2" x14ac:dyDescent="0.25">
      <c r="A10" s="1836"/>
      <c r="B10" s="1837" t="s">
        <v>1239</v>
      </c>
    </row>
    <row r="11" spans="1:2" x14ac:dyDescent="0.25">
      <c r="A11" s="1836"/>
      <c r="B11" s="1837" t="s">
        <v>1240</v>
      </c>
    </row>
    <row r="12" spans="1:2" x14ac:dyDescent="0.25">
      <c r="A12" s="1836"/>
      <c r="B12" s="1837" t="s">
        <v>1265</v>
      </c>
    </row>
    <row r="13" spans="1:2" x14ac:dyDescent="0.25">
      <c r="A13" s="1836"/>
      <c r="B13" s="1837" t="s">
        <v>1241</v>
      </c>
    </row>
    <row r="14" spans="1:2" x14ac:dyDescent="0.25">
      <c r="A14" s="1836"/>
      <c r="B14" s="1837" t="s">
        <v>1242</v>
      </c>
    </row>
    <row r="15" spans="1:2" x14ac:dyDescent="0.25">
      <c r="A15" s="1836"/>
      <c r="B15" s="1837" t="s">
        <v>1243</v>
      </c>
    </row>
    <row r="16" spans="1:2" x14ac:dyDescent="0.25">
      <c r="A16" s="1836"/>
      <c r="B16" s="1837" t="s">
        <v>1244</v>
      </c>
    </row>
    <row r="17" spans="1:2" x14ac:dyDescent="0.25">
      <c r="A17" s="1836"/>
      <c r="B17" s="1837" t="s">
        <v>1245</v>
      </c>
    </row>
    <row r="18" spans="1:2" x14ac:dyDescent="0.25">
      <c r="A18" s="1836"/>
      <c r="B18" s="1837" t="s">
        <v>1246</v>
      </c>
    </row>
    <row r="19" spans="1:2" x14ac:dyDescent="0.25">
      <c r="A19" s="1836"/>
      <c r="B19" s="1837" t="s">
        <v>1247</v>
      </c>
    </row>
    <row r="20" spans="1:2" x14ac:dyDescent="0.25">
      <c r="A20" s="1836"/>
      <c r="B20" s="1837" t="s">
        <v>1277</v>
      </c>
    </row>
    <row r="21" spans="1:2" x14ac:dyDescent="0.25">
      <c r="A21" s="1836"/>
    </row>
    <row r="22" spans="1:2" x14ac:dyDescent="0.25">
      <c r="A22" s="1836" t="s">
        <v>1585</v>
      </c>
      <c r="B22" s="1837" t="s">
        <v>1145</v>
      </c>
    </row>
    <row r="23" spans="1:2" x14ac:dyDescent="0.25">
      <c r="A23" s="1837" t="s">
        <v>1586</v>
      </c>
      <c r="B23" s="1837" t="s">
        <v>1248</v>
      </c>
    </row>
    <row r="24" spans="1:2" x14ac:dyDescent="0.25">
      <c r="B24" s="1837" t="s">
        <v>1249</v>
      </c>
    </row>
    <row r="25" spans="1:2" x14ac:dyDescent="0.25">
      <c r="B25" s="1837" t="s">
        <v>1250</v>
      </c>
    </row>
    <row r="26" spans="1:2" x14ac:dyDescent="0.25">
      <c r="B26" s="1838" t="s">
        <v>1587</v>
      </c>
    </row>
    <row r="27" spans="1:2" x14ac:dyDescent="0.25">
      <c r="B27" s="1838" t="s">
        <v>1588</v>
      </c>
    </row>
    <row r="28" spans="1:2" x14ac:dyDescent="0.25">
      <c r="B28" s="1838" t="s">
        <v>1251</v>
      </c>
    </row>
    <row r="29" spans="1:2" x14ac:dyDescent="0.25">
      <c r="B29" s="1838" t="s">
        <v>1589</v>
      </c>
    </row>
    <row r="30" spans="1:2" x14ac:dyDescent="0.25">
      <c r="B30" s="1838" t="s">
        <v>1590</v>
      </c>
    </row>
    <row r="31" spans="1:2" x14ac:dyDescent="0.25">
      <c r="B31" s="1838" t="s">
        <v>1591</v>
      </c>
    </row>
    <row r="32" spans="1:2" x14ac:dyDescent="0.25">
      <c r="B32" s="1838" t="s">
        <v>1592</v>
      </c>
    </row>
    <row r="33" spans="1:2" x14ac:dyDescent="0.25">
      <c r="B33" s="1838" t="s">
        <v>1593</v>
      </c>
    </row>
    <row r="34" spans="1:2" x14ac:dyDescent="0.25">
      <c r="B34" s="1837" t="s">
        <v>1252</v>
      </c>
    </row>
    <row r="35" spans="1:2" x14ac:dyDescent="0.25">
      <c r="B35" s="1838" t="s">
        <v>1594</v>
      </c>
    </row>
    <row r="36" spans="1:2" x14ac:dyDescent="0.25">
      <c r="B36" s="1838" t="s">
        <v>1595</v>
      </c>
    </row>
    <row r="37" spans="1:2" x14ac:dyDescent="0.25">
      <c r="B37" s="1838" t="s">
        <v>1596</v>
      </c>
    </row>
    <row r="38" spans="1:2" x14ac:dyDescent="0.25">
      <c r="B38" s="1838" t="s">
        <v>1597</v>
      </c>
    </row>
    <row r="39" spans="1:2" x14ac:dyDescent="0.25">
      <c r="B39" s="1838" t="s">
        <v>1598</v>
      </c>
    </row>
    <row r="41" spans="1:2" x14ac:dyDescent="0.25">
      <c r="A41" s="1836" t="s">
        <v>1599</v>
      </c>
      <c r="B41" s="1837" t="s">
        <v>1143</v>
      </c>
    </row>
    <row r="42" spans="1:2" x14ac:dyDescent="0.25">
      <c r="A42" s="1837" t="s">
        <v>1600</v>
      </c>
      <c r="B42" s="1837" t="s">
        <v>1253</v>
      </c>
    </row>
    <row r="43" spans="1:2" x14ac:dyDescent="0.25">
      <c r="B43" s="1837" t="s">
        <v>1254</v>
      </c>
    </row>
    <row r="44" spans="1:2" x14ac:dyDescent="0.25">
      <c r="B44" s="1837" t="s">
        <v>1255</v>
      </c>
    </row>
    <row r="45" spans="1:2" x14ac:dyDescent="0.25">
      <c r="B45" s="1837" t="s">
        <v>1256</v>
      </c>
    </row>
    <row r="46" spans="1:2" x14ac:dyDescent="0.25">
      <c r="B46" s="1837" t="s">
        <v>1257</v>
      </c>
    </row>
    <row r="47" spans="1:2" x14ac:dyDescent="0.25">
      <c r="B47" s="1837" t="s">
        <v>1258</v>
      </c>
    </row>
    <row r="48" spans="1:2" x14ac:dyDescent="0.25">
      <c r="B48" s="1837" t="s">
        <v>1259</v>
      </c>
    </row>
    <row r="49" spans="2:2" x14ac:dyDescent="0.25">
      <c r="B49" s="1837" t="s">
        <v>1260</v>
      </c>
    </row>
    <row r="50" spans="2:2" x14ac:dyDescent="0.25">
      <c r="B50" s="1837" t="s">
        <v>1261</v>
      </c>
    </row>
    <row r="51" spans="2:2" x14ac:dyDescent="0.25">
      <c r="B51" s="1837" t="s">
        <v>534</v>
      </c>
    </row>
    <row r="52" spans="2:2" x14ac:dyDescent="0.25">
      <c r="B52" s="1837" t="s">
        <v>1263</v>
      </c>
    </row>
    <row r="53" spans="2:2" x14ac:dyDescent="0.25">
      <c r="B53" s="1837" t="s">
        <v>1266</v>
      </c>
    </row>
    <row r="54" spans="2:2" x14ac:dyDescent="0.25">
      <c r="B54" s="1837" t="s">
        <v>1267</v>
      </c>
    </row>
    <row r="55" spans="2:2" x14ac:dyDescent="0.25">
      <c r="B55" s="1837" t="s">
        <v>1268</v>
      </c>
    </row>
    <row r="56" spans="2:2" x14ac:dyDescent="0.25">
      <c r="B56" s="1837" t="s">
        <v>1269</v>
      </c>
    </row>
    <row r="57" spans="2:2" x14ac:dyDescent="0.25">
      <c r="B57" s="1837" t="s">
        <v>1270</v>
      </c>
    </row>
    <row r="58" spans="2:2" x14ac:dyDescent="0.25">
      <c r="B58" s="1837" t="s">
        <v>1271</v>
      </c>
    </row>
    <row r="59" spans="2:2" x14ac:dyDescent="0.25">
      <c r="B59" s="1837" t="s">
        <v>1272</v>
      </c>
    </row>
    <row r="60" spans="2:2" x14ac:dyDescent="0.25">
      <c r="B60" s="1837" t="s">
        <v>1273</v>
      </c>
    </row>
    <row r="61" spans="2:2" x14ac:dyDescent="0.25">
      <c r="B61" s="1837" t="s">
        <v>1274</v>
      </c>
    </row>
    <row r="62" spans="2:2" x14ac:dyDescent="0.25">
      <c r="B62" s="1837" t="s">
        <v>1275</v>
      </c>
    </row>
    <row r="63" spans="2:2" x14ac:dyDescent="0.25">
      <c r="B63" s="1837" t="s">
        <v>1276</v>
      </c>
    </row>
    <row r="64" spans="2:2" x14ac:dyDescent="0.25">
      <c r="B64" s="1837" t="s">
        <v>1278</v>
      </c>
    </row>
    <row r="66" spans="1:2" x14ac:dyDescent="0.25">
      <c r="A66" s="1836" t="s">
        <v>1601</v>
      </c>
      <c r="B66" s="1837" t="s">
        <v>1145</v>
      </c>
    </row>
    <row r="67" spans="1:2" x14ac:dyDescent="0.25">
      <c r="A67" s="1837" t="s">
        <v>1602</v>
      </c>
      <c r="B67" s="1838" t="s">
        <v>1279</v>
      </c>
    </row>
    <row r="68" spans="1:2" x14ac:dyDescent="0.25">
      <c r="B68" s="1838" t="s">
        <v>1280</v>
      </c>
    </row>
    <row r="69" spans="1:2" x14ac:dyDescent="0.25">
      <c r="B69" s="1838" t="s">
        <v>1281</v>
      </c>
    </row>
    <row r="70" spans="1:2" x14ac:dyDescent="0.25">
      <c r="B70" s="1838" t="s">
        <v>1603</v>
      </c>
    </row>
    <row r="71" spans="1:2" x14ac:dyDescent="0.25">
      <c r="B71" s="1838" t="s">
        <v>1604</v>
      </c>
    </row>
    <row r="72" spans="1:2" x14ac:dyDescent="0.25">
      <c r="B72" s="1838" t="s">
        <v>1690</v>
      </c>
    </row>
    <row r="73" spans="1:2" x14ac:dyDescent="0.25">
      <c r="B73" s="1838" t="s">
        <v>1605</v>
      </c>
    </row>
    <row r="74" spans="1:2" x14ac:dyDescent="0.25">
      <c r="B74" s="1838" t="s">
        <v>1606</v>
      </c>
    </row>
    <row r="75" spans="1:2" x14ac:dyDescent="0.25">
      <c r="B75" s="1838" t="s">
        <v>1607</v>
      </c>
    </row>
    <row r="76" spans="1:2" x14ac:dyDescent="0.25">
      <c r="B76" s="1838" t="s">
        <v>1608</v>
      </c>
    </row>
    <row r="77" spans="1:2" x14ac:dyDescent="0.25">
      <c r="B77" s="1838" t="s">
        <v>1609</v>
      </c>
    </row>
    <row r="78" spans="1:2" x14ac:dyDescent="0.25">
      <c r="B78" s="1838" t="s">
        <v>1610</v>
      </c>
    </row>
    <row r="79" spans="1:2" x14ac:dyDescent="0.25">
      <c r="B79" s="1838" t="s">
        <v>1611</v>
      </c>
    </row>
    <row r="80" spans="1:2" x14ac:dyDescent="0.25">
      <c r="B80" s="1838" t="s">
        <v>1612</v>
      </c>
    </row>
    <row r="81" spans="1:2" x14ac:dyDescent="0.25">
      <c r="B81" s="1838" t="s">
        <v>1613</v>
      </c>
    </row>
    <row r="82" spans="1:2" x14ac:dyDescent="0.25">
      <c r="B82" s="1838" t="s">
        <v>1614</v>
      </c>
    </row>
    <row r="83" spans="1:2" x14ac:dyDescent="0.25">
      <c r="B83" s="1838" t="s">
        <v>1615</v>
      </c>
    </row>
    <row r="85" spans="1:2" x14ac:dyDescent="0.25">
      <c r="A85" s="1836" t="s">
        <v>1616</v>
      </c>
      <c r="B85" s="1839">
        <v>0</v>
      </c>
    </row>
    <row r="86" spans="1:2" x14ac:dyDescent="0.25">
      <c r="A86" s="1837" t="s">
        <v>1617</v>
      </c>
      <c r="B86" s="1839">
        <v>0.1</v>
      </c>
    </row>
    <row r="87" spans="1:2" x14ac:dyDescent="0.25">
      <c r="B87" s="1839">
        <v>0.2</v>
      </c>
    </row>
    <row r="88" spans="1:2" x14ac:dyDescent="0.25">
      <c r="B88" s="1839">
        <v>0.25</v>
      </c>
    </row>
    <row r="89" spans="1:2" x14ac:dyDescent="0.25">
      <c r="B89" s="1839">
        <v>0.3</v>
      </c>
    </row>
    <row r="90" spans="1:2" x14ac:dyDescent="0.25">
      <c r="B90" s="1839">
        <v>0.4</v>
      </c>
    </row>
    <row r="91" spans="1:2" x14ac:dyDescent="0.25">
      <c r="B91" s="1839">
        <v>0.5</v>
      </c>
    </row>
    <row r="92" spans="1:2" x14ac:dyDescent="0.25">
      <c r="B92" s="1839">
        <v>0.6</v>
      </c>
    </row>
    <row r="93" spans="1:2" x14ac:dyDescent="0.25">
      <c r="B93" s="1839">
        <v>0.75</v>
      </c>
    </row>
    <row r="94" spans="1:2" x14ac:dyDescent="0.25">
      <c r="B94" s="1839">
        <v>1</v>
      </c>
    </row>
    <row r="96" spans="1:2" x14ac:dyDescent="0.25">
      <c r="A96" s="1836" t="s">
        <v>1618</v>
      </c>
      <c r="B96" s="1837" t="s">
        <v>1160</v>
      </c>
    </row>
    <row r="97" spans="2:2" x14ac:dyDescent="0.25">
      <c r="B97" s="1840" t="s">
        <v>1282</v>
      </c>
    </row>
    <row r="98" spans="2:2" x14ac:dyDescent="0.25">
      <c r="B98" s="1840" t="s">
        <v>1283</v>
      </c>
    </row>
    <row r="99" spans="2:2" x14ac:dyDescent="0.25">
      <c r="B99" s="1840" t="s">
        <v>1284</v>
      </c>
    </row>
    <row r="100" spans="2:2" x14ac:dyDescent="0.25">
      <c r="B100" s="1840" t="s">
        <v>1285</v>
      </c>
    </row>
    <row r="101" spans="2:2" x14ac:dyDescent="0.25">
      <c r="B101" s="1840" t="s">
        <v>1286</v>
      </c>
    </row>
    <row r="102" spans="2:2" x14ac:dyDescent="0.25">
      <c r="B102" s="1840" t="s">
        <v>1287</v>
      </c>
    </row>
    <row r="103" spans="2:2" x14ac:dyDescent="0.25">
      <c r="B103" s="1840" t="s">
        <v>1288</v>
      </c>
    </row>
    <row r="104" spans="2:2" x14ac:dyDescent="0.25">
      <c r="B104" s="1840" t="s">
        <v>1289</v>
      </c>
    </row>
    <row r="105" spans="2:2" x14ac:dyDescent="0.25">
      <c r="B105" s="1840" t="s">
        <v>1290</v>
      </c>
    </row>
    <row r="106" spans="2:2" x14ac:dyDescent="0.25">
      <c r="B106" s="1840" t="s">
        <v>1291</v>
      </c>
    </row>
    <row r="107" spans="2:2" x14ac:dyDescent="0.25">
      <c r="B107" s="1840" t="s">
        <v>1292</v>
      </c>
    </row>
    <row r="108" spans="2:2" x14ac:dyDescent="0.25">
      <c r="B108" s="1840" t="s">
        <v>1293</v>
      </c>
    </row>
    <row r="109" spans="2:2" x14ac:dyDescent="0.25">
      <c r="B109" s="1840" t="s">
        <v>1294</v>
      </c>
    </row>
    <row r="110" spans="2:2" x14ac:dyDescent="0.25">
      <c r="B110" s="1840" t="s">
        <v>1295</v>
      </c>
    </row>
    <row r="111" spans="2:2" x14ac:dyDescent="0.25">
      <c r="B111" s="1840" t="s">
        <v>1296</v>
      </c>
    </row>
    <row r="112" spans="2:2" x14ac:dyDescent="0.25">
      <c r="B112" s="1840" t="s">
        <v>1297</v>
      </c>
    </row>
    <row r="113" spans="1:2" x14ac:dyDescent="0.25">
      <c r="B113" s="1840" t="s">
        <v>1298</v>
      </c>
    </row>
    <row r="114" spans="1:2" x14ac:dyDescent="0.25">
      <c r="B114" s="1840" t="s">
        <v>1299</v>
      </c>
    </row>
    <row r="115" spans="1:2" x14ac:dyDescent="0.25">
      <c r="B115" s="1840" t="s">
        <v>1300</v>
      </c>
    </row>
    <row r="116" spans="1:2" x14ac:dyDescent="0.25">
      <c r="B116" s="1840" t="s">
        <v>1301</v>
      </c>
    </row>
    <row r="117" spans="1:2" x14ac:dyDescent="0.25">
      <c r="B117" s="1840" t="s">
        <v>1302</v>
      </c>
    </row>
    <row r="118" spans="1:2" x14ac:dyDescent="0.25">
      <c r="B118" s="1840" t="s">
        <v>1303</v>
      </c>
    </row>
    <row r="120" spans="1:2" x14ac:dyDescent="0.25">
      <c r="A120" s="1840" t="s">
        <v>1619</v>
      </c>
      <c r="B120" s="1840" t="s">
        <v>1160</v>
      </c>
    </row>
    <row r="121" spans="1:2" x14ac:dyDescent="0.25">
      <c r="A121" s="1840"/>
      <c r="B121" s="1841" t="s">
        <v>1304</v>
      </c>
    </row>
    <row r="122" spans="1:2" x14ac:dyDescent="0.25">
      <c r="A122" s="1840"/>
      <c r="B122" s="1841" t="s">
        <v>1545</v>
      </c>
    </row>
    <row r="123" spans="1:2" x14ac:dyDescent="0.25">
      <c r="A123" s="1840"/>
    </row>
    <row r="124" spans="1:2" x14ac:dyDescent="0.25">
      <c r="A124" s="1840"/>
    </row>
    <row r="125" spans="1:2" x14ac:dyDescent="0.25">
      <c r="A125" s="1840" t="s">
        <v>1691</v>
      </c>
      <c r="B125" s="1840" t="s">
        <v>1160</v>
      </c>
    </row>
    <row r="126" spans="1:2" x14ac:dyDescent="0.25">
      <c r="A126" s="1840"/>
      <c r="B126" s="1840" t="s">
        <v>1692</v>
      </c>
    </row>
    <row r="127" spans="1:2" x14ac:dyDescent="0.25">
      <c r="A127" s="1840"/>
      <c r="B127" s="1841"/>
    </row>
    <row r="128" spans="1:2" x14ac:dyDescent="0.25">
      <c r="A128" s="1840"/>
      <c r="B128" s="1840"/>
    </row>
    <row r="129" spans="1:2" x14ac:dyDescent="0.25">
      <c r="A129" s="1840" t="s">
        <v>1620</v>
      </c>
      <c r="B129" s="1840" t="s">
        <v>1160</v>
      </c>
    </row>
    <row r="130" spans="1:2" x14ac:dyDescent="0.25">
      <c r="A130" s="1840"/>
      <c r="B130" s="1840" t="s">
        <v>1305</v>
      </c>
    </row>
    <row r="131" spans="1:2" x14ac:dyDescent="0.25">
      <c r="A131" s="1840"/>
      <c r="B131" s="1841" t="s">
        <v>1306</v>
      </c>
    </row>
    <row r="132" spans="1:2" x14ac:dyDescent="0.25">
      <c r="A132" s="1840"/>
      <c r="B132" s="1841" t="s">
        <v>1307</v>
      </c>
    </row>
    <row r="133" spans="1:2" x14ac:dyDescent="0.25">
      <c r="A133" s="1840"/>
      <c r="B133" s="1841" t="s">
        <v>1308</v>
      </c>
    </row>
    <row r="134" spans="1:2" x14ac:dyDescent="0.25">
      <c r="A134" s="1840"/>
      <c r="B134" s="1842" t="s">
        <v>1309</v>
      </c>
    </row>
    <row r="135" spans="1:2" x14ac:dyDescent="0.25">
      <c r="A135" s="1840"/>
      <c r="B135" s="1842" t="s">
        <v>1310</v>
      </c>
    </row>
    <row r="136" spans="1:2" x14ac:dyDescent="0.25">
      <c r="A136" s="1840"/>
      <c r="B136" s="1842" t="s">
        <v>1311</v>
      </c>
    </row>
    <row r="137" spans="1:2" x14ac:dyDescent="0.25">
      <c r="A137" s="1840"/>
      <c r="B137" s="1840"/>
    </row>
    <row r="138" spans="1:2" x14ac:dyDescent="0.25">
      <c r="A138" s="1840" t="s">
        <v>1621</v>
      </c>
      <c r="B138" s="1840" t="s">
        <v>1170</v>
      </c>
    </row>
    <row r="139" spans="1:2" x14ac:dyDescent="0.25">
      <c r="A139" s="1840" t="s">
        <v>1622</v>
      </c>
      <c r="B139" s="1840" t="s">
        <v>1312</v>
      </c>
    </row>
    <row r="140" spans="1:2" x14ac:dyDescent="0.25">
      <c r="B140" s="1840" t="s">
        <v>1313</v>
      </c>
    </row>
    <row r="141" spans="1:2" x14ac:dyDescent="0.25">
      <c r="A141" s="1840"/>
      <c r="B141" s="1840" t="s">
        <v>1314</v>
      </c>
    </row>
    <row r="142" spans="1:2" x14ac:dyDescent="0.25">
      <c r="A142" s="1840"/>
      <c r="B142" s="1840" t="s">
        <v>1315</v>
      </c>
    </row>
    <row r="143" spans="1:2" x14ac:dyDescent="0.25">
      <c r="A143" s="1840"/>
      <c r="B143" s="1840" t="s">
        <v>1316</v>
      </c>
    </row>
    <row r="144" spans="1:2" x14ac:dyDescent="0.25">
      <c r="A144" s="1840"/>
      <c r="B144" s="1840" t="s">
        <v>1317</v>
      </c>
    </row>
    <row r="145" spans="1:2" x14ac:dyDescent="0.25">
      <c r="A145" s="1840"/>
      <c r="B145" s="1840" t="s">
        <v>1318</v>
      </c>
    </row>
    <row r="146" spans="1:2" x14ac:dyDescent="0.25">
      <c r="A146" s="1840"/>
    </row>
    <row r="147" spans="1:2" x14ac:dyDescent="0.25">
      <c r="A147" s="1840" t="s">
        <v>1623</v>
      </c>
      <c r="B147" s="1837" t="s">
        <v>1624</v>
      </c>
    </row>
    <row r="148" spans="1:2" x14ac:dyDescent="0.25">
      <c r="A148" s="1840" t="s">
        <v>1625</v>
      </c>
      <c r="B148" s="1842" t="s">
        <v>1626</v>
      </c>
    </row>
    <row r="149" spans="1:2" x14ac:dyDescent="0.25">
      <c r="B149" s="1842" t="s">
        <v>1627</v>
      </c>
    </row>
    <row r="150" spans="1:2" x14ac:dyDescent="0.25">
      <c r="A150" s="1840"/>
      <c r="B150" s="1842" t="s">
        <v>1628</v>
      </c>
    </row>
    <row r="151" spans="1:2" x14ac:dyDescent="0.25">
      <c r="A151" s="1840"/>
      <c r="B151" s="1842" t="s">
        <v>1693</v>
      </c>
    </row>
    <row r="152" spans="1:2" x14ac:dyDescent="0.25">
      <c r="A152" s="1840"/>
      <c r="B152" s="1842" t="s">
        <v>1629</v>
      </c>
    </row>
    <row r="153" spans="1:2" x14ac:dyDescent="0.25">
      <c r="A153" s="1840"/>
      <c r="B153" s="1842" t="s">
        <v>1630</v>
      </c>
    </row>
    <row r="154" spans="1:2" x14ac:dyDescent="0.25">
      <c r="A154" s="1840"/>
      <c r="B154" s="1842" t="s">
        <v>1631</v>
      </c>
    </row>
    <row r="155" spans="1:2" x14ac:dyDescent="0.25">
      <c r="A155" s="1840"/>
      <c r="B155" s="1842" t="s">
        <v>1694</v>
      </c>
    </row>
    <row r="156" spans="1:2" x14ac:dyDescent="0.25">
      <c r="A156" s="1840"/>
      <c r="B156" s="1840" t="s">
        <v>1632</v>
      </c>
    </row>
    <row r="157" spans="1:2" x14ac:dyDescent="0.25">
      <c r="A157" s="1840"/>
      <c r="B157" s="1840" t="s">
        <v>1633</v>
      </c>
    </row>
    <row r="158" spans="1:2" x14ac:dyDescent="0.25">
      <c r="A158" s="1840"/>
      <c r="B158" s="1840" t="s">
        <v>1634</v>
      </c>
    </row>
    <row r="159" spans="1:2" x14ac:dyDescent="0.25">
      <c r="A159" s="1840"/>
      <c r="B159" s="1840" t="s">
        <v>1695</v>
      </c>
    </row>
    <row r="160" spans="1:2" x14ac:dyDescent="0.25">
      <c r="A160" s="1840"/>
      <c r="B160" s="1840"/>
    </row>
    <row r="161" spans="1:2" x14ac:dyDescent="0.25">
      <c r="A161" s="1840" t="s">
        <v>1635</v>
      </c>
      <c r="B161" s="1840" t="s">
        <v>1319</v>
      </c>
    </row>
    <row r="162" spans="1:2" x14ac:dyDescent="0.25">
      <c r="A162" s="1840" t="s">
        <v>1636</v>
      </c>
      <c r="B162" s="1840" t="s">
        <v>200</v>
      </c>
    </row>
    <row r="163" spans="1:2" x14ac:dyDescent="0.25">
      <c r="B163" s="1840" t="s">
        <v>1321</v>
      </c>
    </row>
    <row r="164" spans="1:2" x14ac:dyDescent="0.25">
      <c r="A164" s="1840"/>
      <c r="B164" s="1840" t="s">
        <v>1320</v>
      </c>
    </row>
    <row r="165" spans="1:2" x14ac:dyDescent="0.25">
      <c r="A165" s="1840"/>
      <c r="B165" s="1840" t="s">
        <v>1322</v>
      </c>
    </row>
    <row r="166" spans="1:2" x14ac:dyDescent="0.25">
      <c r="A166" s="1840"/>
      <c r="B166" s="1840" t="s">
        <v>1323</v>
      </c>
    </row>
    <row r="167" spans="1:2" x14ac:dyDescent="0.25">
      <c r="A167" s="1840"/>
      <c r="B167" s="1840" t="s">
        <v>1324</v>
      </c>
    </row>
    <row r="168" spans="1:2" x14ac:dyDescent="0.25">
      <c r="A168" s="1840"/>
      <c r="B168" s="1840"/>
    </row>
    <row r="169" spans="1:2" x14ac:dyDescent="0.25">
      <c r="A169" s="1840" t="s">
        <v>1637</v>
      </c>
      <c r="B169" s="1837" t="s">
        <v>1145</v>
      </c>
    </row>
    <row r="170" spans="1:2" x14ac:dyDescent="0.25">
      <c r="A170" s="1840" t="s">
        <v>1638</v>
      </c>
      <c r="B170" s="1842" t="s">
        <v>1325</v>
      </c>
    </row>
    <row r="171" spans="1:2" x14ac:dyDescent="0.25">
      <c r="A171" s="1840"/>
      <c r="B171" s="1842" t="s">
        <v>1326</v>
      </c>
    </row>
    <row r="172" spans="1:2" x14ac:dyDescent="0.25">
      <c r="A172" s="1840"/>
      <c r="B172" s="1842" t="s">
        <v>1327</v>
      </c>
    </row>
    <row r="173" spans="1:2" x14ac:dyDescent="0.25">
      <c r="A173" s="1840"/>
      <c r="B173" s="1842" t="s">
        <v>1328</v>
      </c>
    </row>
    <row r="174" spans="1:2" x14ac:dyDescent="0.25">
      <c r="A174" s="1840"/>
      <c r="B174" s="1842" t="s">
        <v>1329</v>
      </c>
    </row>
    <row r="175" spans="1:2" x14ac:dyDescent="0.25">
      <c r="A175" s="1840"/>
      <c r="B175" s="1840" t="s">
        <v>1330</v>
      </c>
    </row>
    <row r="176" spans="1:2" x14ac:dyDescent="0.25">
      <c r="A176" s="1840"/>
      <c r="B176" s="1840"/>
    </row>
    <row r="177" spans="1:2" x14ac:dyDescent="0.25">
      <c r="A177" s="1840" t="s">
        <v>1639</v>
      </c>
      <c r="B177" s="1840" t="s">
        <v>1331</v>
      </c>
    </row>
    <row r="178" spans="1:2" x14ac:dyDescent="0.25">
      <c r="A178" s="1840" t="s">
        <v>1640</v>
      </c>
      <c r="B178" s="1840" t="s">
        <v>1332</v>
      </c>
    </row>
    <row r="179" spans="1:2" x14ac:dyDescent="0.25">
      <c r="A179" s="1840"/>
      <c r="B179" s="1840" t="s">
        <v>1333</v>
      </c>
    </row>
    <row r="180" spans="1:2" x14ac:dyDescent="0.25">
      <c r="A180" s="1840"/>
      <c r="B180" s="1840"/>
    </row>
    <row r="181" spans="1:2" x14ac:dyDescent="0.25">
      <c r="A181" s="1840" t="s">
        <v>1641</v>
      </c>
      <c r="B181" s="1837" t="s">
        <v>1546</v>
      </c>
    </row>
    <row r="182" spans="1:2" x14ac:dyDescent="0.25">
      <c r="A182" s="1840"/>
      <c r="B182" s="1840" t="s">
        <v>1547</v>
      </c>
    </row>
    <row r="183" spans="1:2" x14ac:dyDescent="0.25">
      <c r="A183" s="1840"/>
      <c r="B183" s="1840" t="s">
        <v>1548</v>
      </c>
    </row>
    <row r="184" spans="1:2" x14ac:dyDescent="0.25">
      <c r="A184" s="1840"/>
      <c r="B184" s="1840" t="s">
        <v>1549</v>
      </c>
    </row>
    <row r="185" spans="1:2" x14ac:dyDescent="0.25">
      <c r="A185" s="1840"/>
      <c r="B185" s="1843" t="s">
        <v>312</v>
      </c>
    </row>
    <row r="186" spans="1:2" x14ac:dyDescent="0.25">
      <c r="A186" s="1840"/>
      <c r="B186" s="1840"/>
    </row>
    <row r="187" spans="1:2" x14ac:dyDescent="0.25">
      <c r="A187" s="1840" t="s">
        <v>1642</v>
      </c>
      <c r="B187" s="1840" t="s">
        <v>1739</v>
      </c>
    </row>
    <row r="188" spans="1:2" x14ac:dyDescent="0.25">
      <c r="A188" s="1840"/>
      <c r="B188" s="1840" t="s">
        <v>1334</v>
      </c>
    </row>
    <row r="189" spans="1:2" x14ac:dyDescent="0.25">
      <c r="A189" s="1840"/>
      <c r="B189" s="1840" t="s">
        <v>1335</v>
      </c>
    </row>
    <row r="190" spans="1:2" x14ac:dyDescent="0.25">
      <c r="A190" s="1840"/>
      <c r="B190" s="1840" t="s">
        <v>1336</v>
      </c>
    </row>
    <row r="191" spans="1:2" x14ac:dyDescent="0.25">
      <c r="A191" s="1840"/>
      <c r="B191" s="1840" t="s">
        <v>1337</v>
      </c>
    </row>
    <row r="192" spans="1:2" x14ac:dyDescent="0.25">
      <c r="A192" s="1840"/>
      <c r="B192" s="1840" t="s">
        <v>1338</v>
      </c>
    </row>
    <row r="193" spans="1:2" x14ac:dyDescent="0.25">
      <c r="A193" s="1840"/>
      <c r="B193" s="1840" t="s">
        <v>1182</v>
      </c>
    </row>
    <row r="194" spans="1:2" x14ac:dyDescent="0.25">
      <c r="A194" s="1840"/>
      <c r="B194" s="1840"/>
    </row>
    <row r="195" spans="1:2" x14ac:dyDescent="0.25">
      <c r="A195" s="1840" t="s">
        <v>1643</v>
      </c>
      <c r="B195" s="1840" t="s">
        <v>541</v>
      </c>
    </row>
    <row r="196" spans="1:2" x14ac:dyDescent="0.25">
      <c r="A196" s="1840"/>
      <c r="B196" s="1840" t="s">
        <v>1550</v>
      </c>
    </row>
    <row r="197" spans="1:2" x14ac:dyDescent="0.25">
      <c r="A197" s="1840"/>
      <c r="B197" s="1840" t="s">
        <v>1551</v>
      </c>
    </row>
    <row r="198" spans="1:2" x14ac:dyDescent="0.25">
      <c r="A198" s="1840"/>
      <c r="B198" s="1840" t="s">
        <v>1552</v>
      </c>
    </row>
    <row r="199" spans="1:2" x14ac:dyDescent="0.25">
      <c r="A199" s="1840"/>
      <c r="B199" s="1840"/>
    </row>
    <row r="200" spans="1:2" x14ac:dyDescent="0.25">
      <c r="A200" s="1840"/>
      <c r="B200" s="1840"/>
    </row>
    <row r="201" spans="1:2" x14ac:dyDescent="0.25">
      <c r="A201" s="1840" t="s">
        <v>1644</v>
      </c>
      <c r="B201" s="1840" t="s">
        <v>541</v>
      </c>
    </row>
    <row r="202" spans="1:2" x14ac:dyDescent="0.25">
      <c r="A202" s="1840"/>
      <c r="B202" s="1840" t="s">
        <v>1192</v>
      </c>
    </row>
    <row r="203" spans="1:2" x14ac:dyDescent="0.25">
      <c r="A203" s="1840"/>
      <c r="B203" s="1840" t="s">
        <v>1339</v>
      </c>
    </row>
    <row r="204" spans="1:2" x14ac:dyDescent="0.25">
      <c r="A204" s="1840"/>
      <c r="B204" s="1840" t="s">
        <v>1340</v>
      </c>
    </row>
    <row r="205" spans="1:2" x14ac:dyDescent="0.25">
      <c r="A205" s="1840"/>
      <c r="B205" s="1840"/>
    </row>
    <row r="206" spans="1:2" x14ac:dyDescent="0.25">
      <c r="A206" s="1840"/>
      <c r="B206" s="1840"/>
    </row>
    <row r="207" spans="1:2" x14ac:dyDescent="0.25">
      <c r="A207" s="1840" t="s">
        <v>1645</v>
      </c>
      <c r="B207" s="1840" t="s">
        <v>1740</v>
      </c>
    </row>
    <row r="208" spans="1:2" x14ac:dyDescent="0.25">
      <c r="A208" s="1840" t="s">
        <v>1647</v>
      </c>
      <c r="B208" s="1840" t="s">
        <v>1646</v>
      </c>
    </row>
    <row r="209" spans="1:2" x14ac:dyDescent="0.25">
      <c r="A209" s="1840"/>
      <c r="B209" s="1840" t="s">
        <v>1648</v>
      </c>
    </row>
    <row r="210" spans="1:2" x14ac:dyDescent="0.25">
      <c r="A210" s="1840"/>
      <c r="B210" s="1840" t="s">
        <v>1649</v>
      </c>
    </row>
    <row r="211" spans="1:2" x14ac:dyDescent="0.25">
      <c r="A211" s="1840"/>
      <c r="B211" s="1840" t="s">
        <v>1650</v>
      </c>
    </row>
    <row r="212" spans="1:2" x14ac:dyDescent="0.25">
      <c r="A212" s="1840"/>
      <c r="B212" s="1840" t="s">
        <v>1651</v>
      </c>
    </row>
    <row r="213" spans="1:2" x14ac:dyDescent="0.25">
      <c r="A213" s="1840"/>
      <c r="B213" s="1840" t="s">
        <v>1652</v>
      </c>
    </row>
    <row r="214" spans="1:2" x14ac:dyDescent="0.25">
      <c r="A214" s="1840"/>
      <c r="B214" s="1840" t="s">
        <v>1696</v>
      </c>
    </row>
    <row r="215" spans="1:2" x14ac:dyDescent="0.25">
      <c r="A215" s="1840"/>
      <c r="B215" s="1840" t="s">
        <v>1653</v>
      </c>
    </row>
    <row r="216" spans="1:2" x14ac:dyDescent="0.25">
      <c r="A216" s="1840"/>
      <c r="B216" s="1840" t="s">
        <v>1654</v>
      </c>
    </row>
    <row r="217" spans="1:2" x14ac:dyDescent="0.25">
      <c r="A217" s="1840"/>
      <c r="B217" s="1840" t="s">
        <v>1655</v>
      </c>
    </row>
    <row r="218" spans="1:2" x14ac:dyDescent="0.25">
      <c r="A218" s="1840"/>
      <c r="B218" s="1840" t="s">
        <v>1656</v>
      </c>
    </row>
    <row r="219" spans="1:2" x14ac:dyDescent="0.25">
      <c r="A219" s="1840"/>
      <c r="B219" s="1840" t="s">
        <v>1657</v>
      </c>
    </row>
    <row r="220" spans="1:2" x14ac:dyDescent="0.25">
      <c r="A220" s="1840"/>
      <c r="B220" s="1840" t="s">
        <v>1658</v>
      </c>
    </row>
    <row r="221" spans="1:2" x14ac:dyDescent="0.25">
      <c r="A221" s="1840"/>
      <c r="B221" s="1840" t="s">
        <v>1659</v>
      </c>
    </row>
    <row r="222" spans="1:2" x14ac:dyDescent="0.25">
      <c r="A222" s="1840"/>
      <c r="B222" s="1840"/>
    </row>
    <row r="223" spans="1:2" x14ac:dyDescent="0.25">
      <c r="A223" s="1840"/>
      <c r="B223" s="1840"/>
    </row>
    <row r="224" spans="1:2" x14ac:dyDescent="0.25">
      <c r="A224" s="1840" t="s">
        <v>1660</v>
      </c>
      <c r="B224" s="1837" t="s">
        <v>541</v>
      </c>
    </row>
    <row r="225" spans="1:2" x14ac:dyDescent="0.25">
      <c r="A225" s="1840"/>
      <c r="B225" s="1837" t="s">
        <v>1160</v>
      </c>
    </row>
    <row r="226" spans="1:2" x14ac:dyDescent="0.25">
      <c r="A226" s="1840" t="s">
        <v>1661</v>
      </c>
      <c r="B226" s="1840" t="s">
        <v>1341</v>
      </c>
    </row>
    <row r="227" spans="1:2" x14ac:dyDescent="0.25">
      <c r="A227" s="1840"/>
      <c r="B227" s="1840" t="s">
        <v>1342</v>
      </c>
    </row>
    <row r="228" spans="1:2" x14ac:dyDescent="0.25">
      <c r="A228" s="1840"/>
      <c r="B228" s="1840" t="s">
        <v>1343</v>
      </c>
    </row>
    <row r="229" spans="1:2" x14ac:dyDescent="0.25">
      <c r="A229" s="1840"/>
      <c r="B229" s="1840"/>
    </row>
    <row r="230" spans="1:2" x14ac:dyDescent="0.25">
      <c r="A230" s="1840"/>
      <c r="B230" s="1840"/>
    </row>
    <row r="231" spans="1:2" x14ac:dyDescent="0.25">
      <c r="A231" s="1840" t="s">
        <v>1662</v>
      </c>
      <c r="B231" s="1840" t="s">
        <v>1215</v>
      </c>
    </row>
    <row r="232" spans="1:2" x14ac:dyDescent="0.25">
      <c r="A232" s="1840" t="s">
        <v>1663</v>
      </c>
      <c r="B232" s="1840" t="s">
        <v>1344</v>
      </c>
    </row>
    <row r="233" spans="1:2" x14ac:dyDescent="0.25">
      <c r="A233" s="1840"/>
      <c r="B233" s="1840" t="s">
        <v>1345</v>
      </c>
    </row>
    <row r="234" spans="1:2" x14ac:dyDescent="0.25">
      <c r="A234" s="1840"/>
      <c r="B234" s="1840" t="s">
        <v>1318</v>
      </c>
    </row>
    <row r="235" spans="1:2" x14ac:dyDescent="0.25">
      <c r="A235" s="1840"/>
      <c r="B235" s="1840"/>
    </row>
    <row r="236" spans="1:2" x14ac:dyDescent="0.25">
      <c r="A236" s="1840"/>
      <c r="B236" s="1840"/>
    </row>
    <row r="237" spans="1:2" x14ac:dyDescent="0.25">
      <c r="A237" s="1840" t="s">
        <v>1664</v>
      </c>
      <c r="B237" s="1840" t="s">
        <v>1215</v>
      </c>
    </row>
    <row r="238" spans="1:2" x14ac:dyDescent="0.25">
      <c r="A238" s="1840" t="s">
        <v>1665</v>
      </c>
      <c r="B238" s="1840" t="s">
        <v>1346</v>
      </c>
    </row>
    <row r="239" spans="1:2" x14ac:dyDescent="0.25">
      <c r="A239" s="1840"/>
      <c r="B239" s="1840" t="s">
        <v>1345</v>
      </c>
    </row>
    <row r="240" spans="1:2" x14ac:dyDescent="0.25">
      <c r="A240" s="1840"/>
      <c r="B240" s="1840" t="s">
        <v>1318</v>
      </c>
    </row>
    <row r="241" spans="1:2" x14ac:dyDescent="0.25">
      <c r="A241" s="1840"/>
      <c r="B241" s="1840"/>
    </row>
    <row r="242" spans="1:2" x14ac:dyDescent="0.25">
      <c r="A242" s="1840"/>
      <c r="B242" s="1840"/>
    </row>
    <row r="243" spans="1:2" x14ac:dyDescent="0.25">
      <c r="A243" s="1840" t="s">
        <v>1666</v>
      </c>
      <c r="B243" s="1840" t="s">
        <v>1215</v>
      </c>
    </row>
    <row r="244" spans="1:2" x14ac:dyDescent="0.25">
      <c r="A244" s="1840" t="s">
        <v>1667</v>
      </c>
      <c r="B244" s="1840" t="s">
        <v>1347</v>
      </c>
    </row>
    <row r="245" spans="1:2" x14ac:dyDescent="0.25">
      <c r="B245" s="1837" t="s">
        <v>1348</v>
      </c>
    </row>
    <row r="246" spans="1:2" x14ac:dyDescent="0.25">
      <c r="A246" s="1840"/>
      <c r="B246" s="1837" t="s">
        <v>1349</v>
      </c>
    </row>
    <row r="247" spans="1:2" x14ac:dyDescent="0.25">
      <c r="A247" s="1840"/>
    </row>
    <row r="248" spans="1:2" x14ac:dyDescent="0.25">
      <c r="A248" s="1840"/>
      <c r="B248" s="1840"/>
    </row>
    <row r="249" spans="1:2" x14ac:dyDescent="0.25">
      <c r="A249" s="1840" t="s">
        <v>1666</v>
      </c>
      <c r="B249" s="1840" t="s">
        <v>1216</v>
      </c>
    </row>
    <row r="250" spans="1:2" x14ac:dyDescent="0.25">
      <c r="A250" s="1840" t="s">
        <v>1668</v>
      </c>
      <c r="B250" s="1840" t="s">
        <v>1350</v>
      </c>
    </row>
    <row r="251" spans="1:2" x14ac:dyDescent="0.25">
      <c r="B251" s="1840" t="s">
        <v>1351</v>
      </c>
    </row>
    <row r="252" spans="1:2" x14ac:dyDescent="0.25">
      <c r="A252" s="1840"/>
      <c r="B252" s="1840" t="s">
        <v>1352</v>
      </c>
    </row>
    <row r="253" spans="1:2" x14ac:dyDescent="0.25">
      <c r="A253" s="1840"/>
      <c r="B253" s="1840" t="s">
        <v>1353</v>
      </c>
    </row>
    <row r="254" spans="1:2" x14ac:dyDescent="0.25">
      <c r="A254" s="1840"/>
      <c r="B254" s="1837" t="s">
        <v>1553</v>
      </c>
    </row>
    <row r="255" spans="1:2" x14ac:dyDescent="0.25">
      <c r="A255" s="1840"/>
      <c r="B255" s="1837" t="s">
        <v>1554</v>
      </c>
    </row>
    <row r="256" spans="1:2" x14ac:dyDescent="0.25">
      <c r="A256" s="1840"/>
      <c r="B256" s="1840" t="s">
        <v>1555</v>
      </c>
    </row>
    <row r="257" spans="1:2" x14ac:dyDescent="0.25">
      <c r="A257" s="1840"/>
      <c r="B257" s="1840" t="s">
        <v>1556</v>
      </c>
    </row>
    <row r="258" spans="1:2" x14ac:dyDescent="0.25">
      <c r="A258" s="1840"/>
      <c r="B258" s="1840" t="s">
        <v>1354</v>
      </c>
    </row>
    <row r="259" spans="1:2" x14ac:dyDescent="0.25">
      <c r="A259" s="1840"/>
      <c r="B259" s="1837" t="s">
        <v>1557</v>
      </c>
    </row>
    <row r="260" spans="1:2" x14ac:dyDescent="0.25">
      <c r="A260" s="1840"/>
      <c r="B260" s="1840" t="s">
        <v>1355</v>
      </c>
    </row>
    <row r="261" spans="1:2" x14ac:dyDescent="0.25">
      <c r="A261" s="1840"/>
      <c r="B261" s="1840" t="s">
        <v>1356</v>
      </c>
    </row>
    <row r="262" spans="1:2" x14ac:dyDescent="0.25">
      <c r="A262" s="1840"/>
      <c r="B262" s="1840" t="s">
        <v>1357</v>
      </c>
    </row>
    <row r="263" spans="1:2" x14ac:dyDescent="0.25">
      <c r="A263" s="1840"/>
      <c r="B263" s="1837" t="s">
        <v>1558</v>
      </c>
    </row>
    <row r="264" spans="1:2" x14ac:dyDescent="0.25">
      <c r="A264" s="1840"/>
      <c r="B264" s="1840" t="s">
        <v>1358</v>
      </c>
    </row>
    <row r="265" spans="1:2" x14ac:dyDescent="0.25">
      <c r="A265" s="1840"/>
      <c r="B265" s="1840" t="s">
        <v>1559</v>
      </c>
    </row>
    <row r="266" spans="1:2" x14ac:dyDescent="0.25">
      <c r="A266" s="1840"/>
      <c r="B266" s="1840" t="s">
        <v>1359</v>
      </c>
    </row>
    <row r="267" spans="1:2" x14ac:dyDescent="0.25">
      <c r="A267" s="1840"/>
      <c r="B267" s="1840" t="s">
        <v>1560</v>
      </c>
    </row>
    <row r="268" spans="1:2" x14ac:dyDescent="0.25">
      <c r="A268" s="1840"/>
      <c r="B268" s="1840" t="s">
        <v>1360</v>
      </c>
    </row>
    <row r="269" spans="1:2" x14ac:dyDescent="0.25">
      <c r="A269" s="1840"/>
      <c r="B269" s="1840" t="s">
        <v>1561</v>
      </c>
    </row>
    <row r="270" spans="1:2" x14ac:dyDescent="0.25">
      <c r="A270" s="1840"/>
      <c r="B270" s="1840" t="s">
        <v>1562</v>
      </c>
    </row>
    <row r="271" spans="1:2" x14ac:dyDescent="0.25">
      <c r="A271" s="1840"/>
      <c r="B271" s="1840" t="s">
        <v>1361</v>
      </c>
    </row>
    <row r="272" spans="1:2" x14ac:dyDescent="0.25">
      <c r="A272" s="1840"/>
      <c r="B272" s="1840" t="s">
        <v>1563</v>
      </c>
    </row>
    <row r="273" spans="1:2" x14ac:dyDescent="0.25">
      <c r="A273" s="1840"/>
      <c r="B273" s="1840" t="s">
        <v>1564</v>
      </c>
    </row>
    <row r="274" spans="1:2" x14ac:dyDescent="0.25">
      <c r="A274" s="1840"/>
      <c r="B274" s="1840" t="s">
        <v>1362</v>
      </c>
    </row>
    <row r="275" spans="1:2" x14ac:dyDescent="0.25">
      <c r="A275" s="1840"/>
      <c r="B275" s="1837" t="s">
        <v>1565</v>
      </c>
    </row>
    <row r="276" spans="1:2" x14ac:dyDescent="0.25">
      <c r="A276" s="1840"/>
      <c r="B276" s="1840" t="s">
        <v>1363</v>
      </c>
    </row>
    <row r="277" spans="1:2" x14ac:dyDescent="0.25">
      <c r="A277" s="1840"/>
      <c r="B277" s="1840" t="s">
        <v>1566</v>
      </c>
    </row>
    <row r="278" spans="1:2" x14ac:dyDescent="0.25">
      <c r="A278" s="1840"/>
      <c r="B278" s="1837" t="s">
        <v>1567</v>
      </c>
    </row>
    <row r="279" spans="1:2" x14ac:dyDescent="0.25">
      <c r="A279" s="1840"/>
      <c r="B279" s="1837" t="s">
        <v>1568</v>
      </c>
    </row>
    <row r="280" spans="1:2" x14ac:dyDescent="0.25">
      <c r="A280" s="1840"/>
      <c r="B280" s="1840" t="s">
        <v>1364</v>
      </c>
    </row>
    <row r="281" spans="1:2" x14ac:dyDescent="0.25">
      <c r="A281" s="1840"/>
      <c r="B281" s="1840" t="s">
        <v>1365</v>
      </c>
    </row>
    <row r="282" spans="1:2" x14ac:dyDescent="0.25">
      <c r="A282" s="1840"/>
      <c r="B282" s="1837" t="s">
        <v>1569</v>
      </c>
    </row>
    <row r="283" spans="1:2" x14ac:dyDescent="0.25">
      <c r="A283" s="1840"/>
      <c r="B283" s="1840" t="s">
        <v>1366</v>
      </c>
    </row>
    <row r="284" spans="1:2" x14ac:dyDescent="0.25">
      <c r="A284" s="1840"/>
      <c r="B284" s="1837" t="s">
        <v>1570</v>
      </c>
    </row>
    <row r="285" spans="1:2" x14ac:dyDescent="0.25">
      <c r="A285" s="1840"/>
      <c r="B285" s="1837" t="s">
        <v>1571</v>
      </c>
    </row>
    <row r="286" spans="1:2" x14ac:dyDescent="0.25">
      <c r="A286" s="1840"/>
      <c r="B286" s="1840" t="s">
        <v>1367</v>
      </c>
    </row>
    <row r="287" spans="1:2" x14ac:dyDescent="0.25">
      <c r="A287" s="1840"/>
      <c r="B287" s="1840" t="s">
        <v>1572</v>
      </c>
    </row>
    <row r="288" spans="1:2" x14ac:dyDescent="0.25">
      <c r="A288" s="1840"/>
      <c r="B288" s="1837" t="s">
        <v>1573</v>
      </c>
    </row>
    <row r="289" spans="1:2" x14ac:dyDescent="0.25">
      <c r="A289" s="1840"/>
      <c r="B289" s="1840" t="s">
        <v>1368</v>
      </c>
    </row>
    <row r="290" spans="1:2" x14ac:dyDescent="0.25">
      <c r="A290" s="1840"/>
      <c r="B290" s="1837" t="s">
        <v>1574</v>
      </c>
    </row>
    <row r="291" spans="1:2" x14ac:dyDescent="0.25">
      <c r="A291" s="1840"/>
      <c r="B291" s="1840" t="s">
        <v>1369</v>
      </c>
    </row>
    <row r="292" spans="1:2" x14ac:dyDescent="0.25">
      <c r="A292" s="1840"/>
      <c r="B292" s="1840" t="s">
        <v>1370</v>
      </c>
    </row>
    <row r="293" spans="1:2" x14ac:dyDescent="0.25">
      <c r="A293" s="1840"/>
      <c r="B293" s="1840" t="s">
        <v>1371</v>
      </c>
    </row>
    <row r="294" spans="1:2" x14ac:dyDescent="0.25">
      <c r="A294" s="1840"/>
      <c r="B294" s="1840" t="s">
        <v>1372</v>
      </c>
    </row>
    <row r="295" spans="1:2" x14ac:dyDescent="0.25">
      <c r="A295" s="1840"/>
      <c r="B295" s="1837" t="s">
        <v>1575</v>
      </c>
    </row>
    <row r="296" spans="1:2" x14ac:dyDescent="0.25">
      <c r="A296" s="1840"/>
      <c r="B296" s="1840" t="s">
        <v>1373</v>
      </c>
    </row>
    <row r="297" spans="1:2" x14ac:dyDescent="0.25">
      <c r="A297" s="1840"/>
      <c r="B297" s="1837" t="s">
        <v>1276</v>
      </c>
    </row>
    <row r="298" spans="1:2" x14ac:dyDescent="0.25">
      <c r="A298" s="1840"/>
      <c r="B298" s="1840" t="s">
        <v>1576</v>
      </c>
    </row>
    <row r="299" spans="1:2" x14ac:dyDescent="0.25">
      <c r="A299" s="1840"/>
      <c r="B299" s="1840" t="s">
        <v>1278</v>
      </c>
    </row>
    <row r="300" spans="1:2" x14ac:dyDescent="0.25">
      <c r="A300" s="1840"/>
      <c r="B300" s="1840"/>
    </row>
    <row r="301" spans="1:2" x14ac:dyDescent="0.25">
      <c r="A301" s="1840"/>
      <c r="B301" s="1840"/>
    </row>
    <row r="302" spans="1:2" x14ac:dyDescent="0.25">
      <c r="A302" s="1840" t="s">
        <v>1669</v>
      </c>
      <c r="B302" s="1837" t="s">
        <v>541</v>
      </c>
    </row>
    <row r="303" spans="1:2" x14ac:dyDescent="0.25">
      <c r="A303" s="1840"/>
      <c r="B303" s="1837" t="s">
        <v>1160</v>
      </c>
    </row>
    <row r="304" spans="1:2" x14ac:dyDescent="0.25">
      <c r="A304" s="1840"/>
      <c r="B304" s="1840" t="s">
        <v>1374</v>
      </c>
    </row>
    <row r="305" spans="1:2" x14ac:dyDescent="0.25">
      <c r="A305" s="1840"/>
      <c r="B305" s="1840" t="s">
        <v>1375</v>
      </c>
    </row>
    <row r="306" spans="1:2" x14ac:dyDescent="0.25">
      <c r="A306" s="1840"/>
      <c r="B306" s="1840" t="s">
        <v>1376</v>
      </c>
    </row>
    <row r="307" spans="1:2" x14ac:dyDescent="0.25">
      <c r="A307" s="1840"/>
      <c r="B307" s="1840"/>
    </row>
    <row r="308" spans="1:2" x14ac:dyDescent="0.25">
      <c r="A308" s="1840"/>
      <c r="B308" s="1840"/>
    </row>
    <row r="309" spans="1:2" x14ac:dyDescent="0.25">
      <c r="A309" s="1837" t="s">
        <v>1670</v>
      </c>
      <c r="B309" s="1837" t="s">
        <v>1577</v>
      </c>
    </row>
    <row r="310" spans="1:2" x14ac:dyDescent="0.25">
      <c r="B310" s="1837" t="s">
        <v>1312</v>
      </c>
    </row>
    <row r="311" spans="1:2" x14ac:dyDescent="0.25">
      <c r="B311" s="1837" t="s">
        <v>1458</v>
      </c>
    </row>
    <row r="312" spans="1:2" x14ac:dyDescent="0.25">
      <c r="B312" s="1837" t="s">
        <v>1459</v>
      </c>
    </row>
    <row r="313" spans="1:2" x14ac:dyDescent="0.25">
      <c r="B313" s="1837" t="s">
        <v>1460</v>
      </c>
    </row>
  </sheetData>
  <pageMargins left="0.75" right="0.75" top="1" bottom="1"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D257"/>
  <sheetViews>
    <sheetView showGridLines="0" zoomScale="106" zoomScaleNormal="106" workbookViewId="0">
      <selection activeCell="T16" sqref="T16"/>
    </sheetView>
  </sheetViews>
  <sheetFormatPr defaultColWidth="8.85546875" defaultRowHeight="15" x14ac:dyDescent="0.25"/>
  <cols>
    <col min="1" max="2" width="1.5703125" style="1750" customWidth="1"/>
    <col min="3" max="3" width="3.42578125" style="1750" customWidth="1"/>
    <col min="4" max="4" width="2.140625" style="1750" customWidth="1"/>
    <col min="5" max="5" width="2.85546875" style="1750" customWidth="1"/>
    <col min="6" max="6" width="10.5703125" style="1750" customWidth="1"/>
    <col min="7" max="7" width="9.140625" style="1750" customWidth="1"/>
    <col min="8" max="8" width="10.85546875" style="1750" customWidth="1"/>
    <col min="9" max="10" width="11.5703125" style="1750" customWidth="1"/>
    <col min="11" max="11" width="9.85546875" style="1750" customWidth="1"/>
    <col min="12" max="12" width="15.140625" style="1750" bestFit="1" customWidth="1"/>
    <col min="13" max="13" width="15.140625" style="1750" customWidth="1"/>
    <col min="14" max="14" width="9.140625" style="1750" customWidth="1"/>
    <col min="15" max="15" width="3.28515625" style="1750" customWidth="1"/>
    <col min="16" max="16384" width="8.85546875" style="1750"/>
  </cols>
  <sheetData>
    <row r="1" spans="1:15" s="1749" customFormat="1" ht="18.75" customHeight="1" x14ac:dyDescent="0.25">
      <c r="A1"/>
      <c r="B1" s="1970"/>
      <c r="C1"/>
      <c r="D1"/>
      <c r="E1"/>
      <c r="F1"/>
      <c r="G1"/>
      <c r="H1"/>
      <c r="I1"/>
      <c r="J1"/>
      <c r="K1"/>
      <c r="L1"/>
      <c r="M1"/>
      <c r="N1"/>
    </row>
    <row r="2" spans="1:15" x14ac:dyDescent="0.25">
      <c r="A2"/>
      <c r="B2" s="1970"/>
      <c r="C2"/>
      <c r="D2"/>
      <c r="E2"/>
      <c r="F2"/>
      <c r="G2"/>
      <c r="H2"/>
      <c r="I2"/>
      <c r="J2"/>
      <c r="K2"/>
      <c r="L2"/>
      <c r="M2"/>
      <c r="N2"/>
    </row>
    <row r="3" spans="1:15" x14ac:dyDescent="0.25">
      <c r="C3"/>
      <c r="D3"/>
      <c r="E3"/>
      <c r="F3"/>
      <c r="G3"/>
      <c r="H3"/>
      <c r="I3"/>
      <c r="J3"/>
      <c r="K3"/>
      <c r="L3"/>
      <c r="M3"/>
      <c r="N3"/>
    </row>
    <row r="4" spans="1:15" ht="4.5" customHeight="1" x14ac:dyDescent="0.25">
      <c r="C4"/>
      <c r="D4"/>
      <c r="E4"/>
      <c r="F4"/>
      <c r="G4"/>
      <c r="H4"/>
      <c r="I4"/>
      <c r="J4"/>
      <c r="K4"/>
      <c r="L4"/>
      <c r="M4"/>
      <c r="N4"/>
    </row>
    <row r="5" spans="1:15" s="1751" customFormat="1" x14ac:dyDescent="0.25">
      <c r="C5"/>
      <c r="D5"/>
      <c r="E5"/>
      <c r="F5"/>
      <c r="G5"/>
      <c r="H5"/>
      <c r="I5"/>
      <c r="J5"/>
      <c r="K5"/>
      <c r="L5"/>
      <c r="M5"/>
      <c r="N5"/>
    </row>
    <row r="6" spans="1:15" s="1751" customFormat="1" x14ac:dyDescent="0.25">
      <c r="C6"/>
      <c r="D6"/>
      <c r="E6"/>
      <c r="F6"/>
      <c r="G6"/>
      <c r="H6"/>
      <c r="I6"/>
      <c r="J6"/>
      <c r="K6"/>
      <c r="L6"/>
      <c r="M6"/>
      <c r="N6"/>
    </row>
    <row r="7" spans="1:15" s="1751" customFormat="1" ht="6.75" customHeight="1" x14ac:dyDescent="0.25">
      <c r="C7"/>
      <c r="D7"/>
      <c r="E7"/>
      <c r="F7"/>
      <c r="G7"/>
      <c r="H7"/>
      <c r="I7"/>
      <c r="J7"/>
      <c r="K7"/>
      <c r="L7"/>
      <c r="M7"/>
      <c r="N7"/>
    </row>
    <row r="8" spans="1:15" x14ac:dyDescent="0.25">
      <c r="C8" s="740"/>
      <c r="D8" s="740"/>
      <c r="E8" s="740"/>
      <c r="F8" s="740"/>
      <c r="G8" s="740"/>
      <c r="H8" s="740"/>
      <c r="I8" s="740"/>
      <c r="J8" s="740"/>
      <c r="K8" s="740"/>
      <c r="L8" s="740"/>
      <c r="M8" s="740"/>
      <c r="N8" s="740"/>
    </row>
    <row r="9" spans="1:15" x14ac:dyDescent="0.25">
      <c r="C9" s="740"/>
      <c r="D9" s="740"/>
      <c r="E9" s="740"/>
      <c r="F9" s="740"/>
      <c r="G9" s="740"/>
      <c r="H9" s="740"/>
      <c r="I9" s="740"/>
      <c r="J9" s="740"/>
      <c r="K9" s="740"/>
      <c r="L9" s="740"/>
      <c r="M9" s="740"/>
      <c r="N9" s="740"/>
    </row>
    <row r="10" spans="1:15" x14ac:dyDescent="0.25">
      <c r="C10" s="740"/>
      <c r="D10" s="740"/>
      <c r="E10" s="740"/>
      <c r="F10" s="740"/>
      <c r="G10" s="740"/>
      <c r="H10" s="740"/>
      <c r="I10" s="740"/>
      <c r="J10" s="740"/>
      <c r="K10" s="740"/>
      <c r="L10" s="740"/>
      <c r="M10" s="740"/>
      <c r="N10" s="740"/>
    </row>
    <row r="11" spans="1:15" ht="15.75" thickBot="1" x14ac:dyDescent="0.3">
      <c r="D11" s="2180"/>
    </row>
    <row r="12" spans="1:15" s="2008" customFormat="1" ht="9" customHeight="1" thickBot="1" x14ac:dyDescent="0.3">
      <c r="B12" s="2169"/>
      <c r="C12" s="2170"/>
      <c r="D12" s="2170"/>
      <c r="E12" s="2170"/>
      <c r="F12" s="2170"/>
      <c r="G12" s="2170"/>
      <c r="H12" s="2170"/>
      <c r="I12" s="2170"/>
      <c r="J12" s="2170"/>
      <c r="K12" s="2170"/>
      <c r="L12" s="2170"/>
      <c r="M12" s="2170"/>
      <c r="N12" s="2170"/>
      <c r="O12" s="2171"/>
    </row>
    <row r="13" spans="1:15" s="2008" customFormat="1" ht="19.5" thickBot="1" x14ac:dyDescent="0.35">
      <c r="B13" s="2172"/>
      <c r="C13" s="2723" t="s">
        <v>1783</v>
      </c>
      <c r="D13" s="2724"/>
      <c r="E13" s="2724"/>
      <c r="F13" s="2724"/>
      <c r="G13" s="2724"/>
      <c r="H13" s="2724"/>
      <c r="I13" s="2724"/>
      <c r="J13" s="2724"/>
      <c r="K13" s="2724"/>
      <c r="L13" s="2724"/>
      <c r="M13" s="2724"/>
      <c r="N13" s="2725"/>
      <c r="O13" s="2173"/>
    </row>
    <row r="14" spans="1:15" s="2008" customFormat="1" x14ac:dyDescent="0.25">
      <c r="B14" s="2172"/>
      <c r="C14" s="1724"/>
      <c r="D14" s="1724"/>
      <c r="E14" s="1724"/>
      <c r="F14" s="1724"/>
      <c r="G14" s="1724"/>
      <c r="H14" s="1724"/>
      <c r="I14" s="1724"/>
      <c r="J14" s="1724"/>
      <c r="K14" s="1724"/>
      <c r="L14" s="1724"/>
      <c r="M14" s="1724"/>
      <c r="N14" s="1724"/>
      <c r="O14" s="2173"/>
    </row>
    <row r="15" spans="1:15" s="2008" customFormat="1" ht="15.75" thickBot="1" x14ac:dyDescent="0.3">
      <c r="B15" s="2172"/>
      <c r="C15" s="2726" t="str">
        <f>IF('1'!G3="","Enter Project Name on Form 1",(CONCATENATE("Project Name: ",'1'!G3)))</f>
        <v>Enter Project Name on Form 1</v>
      </c>
      <c r="D15" s="2726"/>
      <c r="E15" s="2726"/>
      <c r="F15" s="2726"/>
      <c r="G15" s="2726"/>
      <c r="H15" s="2726"/>
      <c r="I15" s="2726"/>
      <c r="J15" s="2726"/>
      <c r="K15" s="2726"/>
      <c r="L15" s="2726"/>
      <c r="M15" s="2726"/>
      <c r="N15" s="2726"/>
      <c r="O15" s="2173"/>
    </row>
    <row r="16" spans="1:15" s="2008" customFormat="1" x14ac:dyDescent="0.25">
      <c r="B16" s="2172"/>
      <c r="C16" s="1724"/>
      <c r="D16" s="1724"/>
      <c r="E16" s="1724"/>
      <c r="F16" s="1724"/>
      <c r="G16" s="1724"/>
      <c r="H16" s="1724"/>
      <c r="I16" s="1724"/>
      <c r="J16" s="1724"/>
      <c r="K16" s="1724"/>
      <c r="L16" s="1724"/>
      <c r="M16" s="1724"/>
      <c r="N16" s="1724"/>
      <c r="O16" s="2173"/>
    </row>
    <row r="17" spans="2:15" ht="15" customHeight="1" x14ac:dyDescent="0.25">
      <c r="B17" s="2181"/>
      <c r="M17" s="2742"/>
      <c r="N17" s="2744" t="s">
        <v>1139</v>
      </c>
      <c r="O17" s="2182"/>
    </row>
    <row r="18" spans="2:15" x14ac:dyDescent="0.25">
      <c r="B18" s="2181"/>
      <c r="F18" s="1752"/>
      <c r="M18" s="2743"/>
      <c r="N18" s="2744"/>
      <c r="O18" s="2182"/>
    </row>
    <row r="19" spans="2:15" x14ac:dyDescent="0.25">
      <c r="B19" s="2181"/>
      <c r="C19" s="1753" t="s">
        <v>1462</v>
      </c>
      <c r="D19" s="1754" t="s">
        <v>1463</v>
      </c>
      <c r="E19" s="1754"/>
      <c r="G19" s="1755"/>
      <c r="H19" s="1755"/>
      <c r="I19" s="1755"/>
      <c r="J19" s="1755"/>
      <c r="K19" s="1755"/>
      <c r="L19" s="1755"/>
      <c r="M19" s="1756"/>
      <c r="N19" s="2076">
        <v>0</v>
      </c>
      <c r="O19" s="2182"/>
    </row>
    <row r="20" spans="2:15" ht="7.5" customHeight="1" x14ac:dyDescent="0.25">
      <c r="B20" s="2181"/>
      <c r="D20" s="1755"/>
      <c r="E20" s="1755"/>
      <c r="F20" s="1754"/>
      <c r="G20" s="1755"/>
      <c r="H20" s="1755"/>
      <c r="I20" s="1755"/>
      <c r="J20" s="1755"/>
      <c r="K20" s="1755"/>
      <c r="L20" s="1755"/>
      <c r="M20" s="1757"/>
      <c r="N20" s="1755"/>
      <c r="O20" s="2182"/>
    </row>
    <row r="21" spans="2:15" x14ac:dyDescent="0.25">
      <c r="B21" s="2181"/>
      <c r="D21" s="1755" t="s">
        <v>1141</v>
      </c>
      <c r="F21" s="1754"/>
      <c r="G21" s="1755"/>
      <c r="H21" s="1755"/>
      <c r="I21" s="1755"/>
      <c r="J21" s="1755"/>
      <c r="K21" s="1755"/>
      <c r="L21" s="1755"/>
      <c r="M21" s="1757"/>
      <c r="N21" s="1755"/>
      <c r="O21" s="2182"/>
    </row>
    <row r="22" spans="2:15" ht="6.75" customHeight="1" x14ac:dyDescent="0.25">
      <c r="B22" s="2181"/>
      <c r="D22" s="1755"/>
      <c r="F22" s="1754"/>
      <c r="G22" s="1755"/>
      <c r="H22" s="1755"/>
      <c r="I22" s="1755"/>
      <c r="J22" s="1755"/>
      <c r="K22" s="1755"/>
      <c r="L22" s="1755"/>
      <c r="M22" s="1757"/>
      <c r="N22" s="1755"/>
      <c r="O22" s="2182"/>
    </row>
    <row r="23" spans="2:15" x14ac:dyDescent="0.25">
      <c r="B23" s="2181"/>
      <c r="D23" s="1755"/>
      <c r="E23" s="1758"/>
      <c r="F23" s="2745" t="s">
        <v>1377</v>
      </c>
      <c r="G23" s="2746"/>
      <c r="H23" s="2746"/>
      <c r="I23" s="2746"/>
      <c r="J23" s="2746"/>
      <c r="K23" s="2746"/>
      <c r="L23" s="2746"/>
      <c r="M23" s="2747"/>
      <c r="N23" s="1759"/>
      <c r="O23" s="2182"/>
    </row>
    <row r="24" spans="2:15" x14ac:dyDescent="0.25">
      <c r="B24" s="2181"/>
      <c r="D24" s="1755"/>
      <c r="E24" s="1758"/>
      <c r="O24" s="2182"/>
    </row>
    <row r="25" spans="2:15" x14ac:dyDescent="0.25">
      <c r="B25" s="2181"/>
      <c r="F25" s="1760" t="s">
        <v>1148</v>
      </c>
      <c r="G25" s="1761"/>
      <c r="H25" s="1761"/>
      <c r="I25" s="1761"/>
      <c r="J25" s="1761"/>
      <c r="K25" s="1761"/>
      <c r="L25" s="1761"/>
      <c r="M25" s="1762"/>
      <c r="N25" s="1763"/>
      <c r="O25" s="2182"/>
    </row>
    <row r="26" spans="2:15" ht="28.5" customHeight="1" x14ac:dyDescent="0.25">
      <c r="B26" s="2181"/>
      <c r="F26" s="1764" t="s">
        <v>1149</v>
      </c>
      <c r="G26" s="2116"/>
      <c r="H26" s="1765" t="s">
        <v>1150</v>
      </c>
      <c r="I26" s="2116"/>
      <c r="J26" s="1765" t="s">
        <v>1151</v>
      </c>
      <c r="M26" s="1766"/>
      <c r="N26" s="1763"/>
      <c r="O26" s="2182"/>
    </row>
    <row r="27" spans="2:15" x14ac:dyDescent="0.25">
      <c r="B27" s="2181"/>
      <c r="F27" s="1767">
        <v>0</v>
      </c>
      <c r="G27" s="1768" t="s">
        <v>1152</v>
      </c>
      <c r="H27" s="1828" t="s">
        <v>1154</v>
      </c>
      <c r="I27" s="1769" t="s">
        <v>371</v>
      </c>
      <c r="J27" s="2075">
        <v>0</v>
      </c>
      <c r="M27" s="1766"/>
      <c r="N27" s="1763"/>
      <c r="O27" s="2182"/>
    </row>
    <row r="28" spans="2:15" x14ac:dyDescent="0.25">
      <c r="B28" s="2181"/>
      <c r="F28" s="1767">
        <v>0</v>
      </c>
      <c r="G28" s="1768" t="s">
        <v>1152</v>
      </c>
      <c r="H28" s="1828" t="s">
        <v>1155</v>
      </c>
      <c r="I28" s="1769" t="s">
        <v>371</v>
      </c>
      <c r="J28" s="2075">
        <v>0</v>
      </c>
      <c r="M28" s="1766"/>
      <c r="N28" s="1763"/>
      <c r="O28" s="2182"/>
    </row>
    <row r="29" spans="2:15" x14ac:dyDescent="0.25">
      <c r="B29" s="2181"/>
      <c r="F29" s="1767">
        <v>0</v>
      </c>
      <c r="G29" s="1770" t="s">
        <v>1152</v>
      </c>
      <c r="H29" s="1828" t="s">
        <v>1156</v>
      </c>
      <c r="I29" s="1769" t="s">
        <v>371</v>
      </c>
      <c r="J29" s="2075">
        <v>0</v>
      </c>
      <c r="M29" s="1766"/>
      <c r="N29" s="1763"/>
      <c r="O29" s="2182"/>
    </row>
    <row r="30" spans="2:15" x14ac:dyDescent="0.25">
      <c r="B30" s="2181"/>
      <c r="F30" s="1771"/>
      <c r="G30" s="2748" t="s">
        <v>1464</v>
      </c>
      <c r="H30" s="2749"/>
      <c r="I30" s="2750"/>
      <c r="J30" s="2074">
        <f>SUM(J27:J29)</f>
        <v>0</v>
      </c>
      <c r="K30" s="1772" t="s">
        <v>1157</v>
      </c>
      <c r="L30" s="1773"/>
      <c r="M30" s="1774"/>
      <c r="N30" s="1763"/>
      <c r="O30" s="2182"/>
    </row>
    <row r="31" spans="2:15" ht="15.75" thickBot="1" x14ac:dyDescent="0.3">
      <c r="B31" s="2181"/>
      <c r="C31" s="1775"/>
      <c r="D31" s="1775"/>
      <c r="E31" s="1775"/>
      <c r="F31" s="1775"/>
      <c r="G31" s="1775"/>
      <c r="H31" s="1775"/>
      <c r="I31" s="1775"/>
      <c r="J31" s="1776"/>
      <c r="K31" s="1777"/>
      <c r="L31" s="1775"/>
      <c r="M31" s="1775"/>
      <c r="N31" s="1775"/>
      <c r="O31" s="2182"/>
    </row>
    <row r="32" spans="2:15" x14ac:dyDescent="0.25">
      <c r="B32" s="2181"/>
      <c r="J32" s="1778"/>
      <c r="K32" s="1754"/>
      <c r="O32" s="2182"/>
    </row>
    <row r="33" spans="2:15" x14ac:dyDescent="0.25">
      <c r="B33" s="2181"/>
      <c r="C33" s="1753" t="s">
        <v>1465</v>
      </c>
      <c r="D33" s="1754" t="s">
        <v>1466</v>
      </c>
      <c r="E33" s="1754"/>
      <c r="G33" s="1755"/>
      <c r="H33" s="1755"/>
      <c r="I33" s="1755"/>
      <c r="J33" s="1755"/>
      <c r="K33" s="1755"/>
      <c r="L33" s="1755"/>
      <c r="M33" s="1756"/>
      <c r="N33" s="2073">
        <f>IF(F37="No Points Taken",0,0)+IF(F37="2 year - 1 point",1,0)+IF(F37="4 years - 2 points",2,0)+IF(F37="6 years - 3 points",3,0)+IF(F37="8 years - 4 points",4,0)+IF(F37="10 years - 5 points",5,0)+IF(F37="12 years - 6 points",6,0)+IF(F37="14 years - 7 points",7,0)+IF(F37="16 years - 8 points",8,0)+IF(F37="18 years - 9 points",9,0)+IF(F37="20 years - 10 points",10,0)+IF(F37="22 years - 11 points",11,0)</f>
        <v>0</v>
      </c>
      <c r="O33" s="2182"/>
    </row>
    <row r="34" spans="2:15" ht="7.5" customHeight="1" x14ac:dyDescent="0.25">
      <c r="B34" s="2181"/>
      <c r="D34" s="1755"/>
      <c r="E34" s="1755"/>
      <c r="F34" s="1754"/>
      <c r="G34" s="1755"/>
      <c r="H34" s="1755"/>
      <c r="I34" s="1755"/>
      <c r="J34" s="1755"/>
      <c r="K34" s="1755"/>
      <c r="L34" s="1755"/>
      <c r="M34" s="1779"/>
      <c r="N34" s="1757"/>
      <c r="O34" s="2182"/>
    </row>
    <row r="35" spans="2:15" x14ac:dyDescent="0.25">
      <c r="B35" s="2181"/>
      <c r="D35" s="1754" t="s">
        <v>1697</v>
      </c>
      <c r="E35" s="1754"/>
      <c r="O35" s="2182"/>
    </row>
    <row r="36" spans="2:15" ht="4.5" customHeight="1" x14ac:dyDescent="0.25">
      <c r="B36" s="2181"/>
      <c r="D36" s="1754"/>
      <c r="E36" s="1754"/>
      <c r="O36" s="2182"/>
    </row>
    <row r="37" spans="2:15" x14ac:dyDescent="0.25">
      <c r="B37" s="2181"/>
      <c r="F37" s="2751" t="s">
        <v>1160</v>
      </c>
      <c r="G37" s="2752"/>
      <c r="H37" s="1780"/>
      <c r="I37" s="1752"/>
      <c r="J37" s="1781"/>
      <c r="K37" s="1769"/>
      <c r="O37" s="2182"/>
    </row>
    <row r="38" spans="2:15" ht="15.75" thickBot="1" x14ac:dyDescent="0.3">
      <c r="B38" s="2181"/>
      <c r="C38" s="1775"/>
      <c r="D38" s="1775"/>
      <c r="E38" s="1775"/>
      <c r="F38" s="1782"/>
      <c r="G38" s="1782"/>
      <c r="H38" s="1783"/>
      <c r="I38" s="1784"/>
      <c r="J38" s="1785"/>
      <c r="K38" s="1786"/>
      <c r="L38" s="1775"/>
      <c r="M38" s="1775"/>
      <c r="N38" s="1775"/>
      <c r="O38" s="2182"/>
    </row>
    <row r="39" spans="2:15" x14ac:dyDescent="0.25">
      <c r="B39" s="2181"/>
      <c r="O39" s="2182"/>
    </row>
    <row r="40" spans="2:15" x14ac:dyDescent="0.25">
      <c r="B40" s="2181"/>
      <c r="C40" s="1753" t="s">
        <v>1467</v>
      </c>
      <c r="D40" s="1754" t="s">
        <v>1468</v>
      </c>
      <c r="E40" s="1754"/>
      <c r="G40" s="1755"/>
      <c r="H40" s="1755"/>
      <c r="I40" s="1755"/>
      <c r="J40" s="1755"/>
      <c r="K40" s="1755"/>
      <c r="L40" s="1755"/>
      <c r="M40" s="1756"/>
      <c r="N40" s="2073">
        <f>SUM(M49,M50,M55,M56,M61,M62,)</f>
        <v>0</v>
      </c>
      <c r="O40" s="2182"/>
    </row>
    <row r="41" spans="2:15" ht="7.5" customHeight="1" x14ac:dyDescent="0.25">
      <c r="B41" s="2181"/>
      <c r="D41" s="1755"/>
      <c r="E41" s="1755"/>
      <c r="F41" s="1754"/>
      <c r="G41" s="1755"/>
      <c r="H41" s="1755"/>
      <c r="I41" s="1755"/>
      <c r="J41" s="1755"/>
      <c r="K41" s="1755"/>
      <c r="L41" s="1755"/>
      <c r="M41" s="1755"/>
      <c r="N41" s="1755"/>
      <c r="O41" s="2182"/>
    </row>
    <row r="42" spans="2:15" ht="10.5" customHeight="1" x14ac:dyDescent="0.25">
      <c r="B42" s="2181"/>
      <c r="D42" s="2753" t="s">
        <v>1378</v>
      </c>
      <c r="E42" s="2753"/>
      <c r="F42" s="2753"/>
      <c r="G42" s="2753"/>
      <c r="H42" s="2753"/>
      <c r="I42" s="2753"/>
      <c r="J42" s="2753"/>
      <c r="K42" s="2753"/>
      <c r="L42" s="2753"/>
      <c r="M42" s="2753"/>
      <c r="N42" s="2753"/>
      <c r="O42" s="2182"/>
    </row>
    <row r="43" spans="2:15" ht="15" customHeight="1" x14ac:dyDescent="0.25">
      <c r="B43" s="2181"/>
      <c r="D43" s="2753"/>
      <c r="E43" s="2753"/>
      <c r="F43" s="2753"/>
      <c r="G43" s="2753"/>
      <c r="H43" s="2753"/>
      <c r="I43" s="2753"/>
      <c r="J43" s="2753"/>
      <c r="K43" s="2753"/>
      <c r="L43" s="2753"/>
      <c r="M43" s="2753"/>
      <c r="N43" s="2753"/>
      <c r="O43" s="2183"/>
    </row>
    <row r="44" spans="2:15" ht="4.5" customHeight="1" x14ac:dyDescent="0.25">
      <c r="B44" s="2181"/>
      <c r="F44" s="2116"/>
      <c r="G44" s="2116"/>
      <c r="H44" s="2116"/>
      <c r="I44" s="2116"/>
      <c r="J44" s="1754" t="s">
        <v>312</v>
      </c>
      <c r="K44" s="2116"/>
      <c r="L44" s="2116"/>
      <c r="M44" s="2116"/>
      <c r="N44" s="2116"/>
      <c r="O44" s="2183"/>
    </row>
    <row r="45" spans="2:15" ht="17.25" customHeight="1" x14ac:dyDescent="0.25">
      <c r="B45" s="2181"/>
      <c r="F45" s="2116"/>
      <c r="G45" s="2116"/>
      <c r="H45" s="2116"/>
      <c r="I45" s="2116"/>
      <c r="J45" s="1787"/>
      <c r="K45" s="2116"/>
      <c r="L45" s="2116"/>
      <c r="M45" s="2116"/>
      <c r="N45" s="2116"/>
      <c r="O45" s="2183"/>
    </row>
    <row r="46" spans="2:15" ht="16.149999999999999" customHeight="1" x14ac:dyDescent="0.25">
      <c r="B46" s="2181"/>
      <c r="D46" s="1754" t="s">
        <v>1379</v>
      </c>
      <c r="E46" s="1754"/>
      <c r="G46" s="1752"/>
      <c r="H46" s="1752"/>
      <c r="I46" s="1752"/>
      <c r="J46" s="1752"/>
      <c r="K46" s="1752"/>
      <c r="O46" s="2182"/>
    </row>
    <row r="47" spans="2:15" ht="6.75" customHeight="1" x14ac:dyDescent="0.25">
      <c r="B47" s="2181"/>
      <c r="D47" s="1754"/>
      <c r="E47" s="1754"/>
      <c r="G47" s="1752"/>
      <c r="H47" s="1752"/>
      <c r="I47" s="1752"/>
      <c r="J47" s="1752"/>
      <c r="K47" s="1752"/>
      <c r="O47" s="2182"/>
    </row>
    <row r="48" spans="2:15" ht="5.25" customHeight="1" x14ac:dyDescent="0.25">
      <c r="B48" s="2181"/>
      <c r="F48" s="1788"/>
      <c r="G48" s="1788"/>
      <c r="H48" s="1788"/>
      <c r="I48" s="1788"/>
      <c r="J48" s="1788"/>
      <c r="K48" s="1788"/>
      <c r="L48" s="1788"/>
      <c r="M48" s="1788"/>
      <c r="N48" s="1788"/>
      <c r="O48" s="2182"/>
    </row>
    <row r="49" spans="1:30" ht="16.149999999999999" customHeight="1" x14ac:dyDescent="0.25">
      <c r="B49" s="2181"/>
      <c r="F49" s="1788" t="s">
        <v>1380</v>
      </c>
      <c r="H49" s="1788"/>
      <c r="I49" s="1788"/>
      <c r="K49" s="1788" t="s">
        <v>1163</v>
      </c>
      <c r="L49" s="2077">
        <v>0</v>
      </c>
      <c r="M49" s="2077">
        <v>0</v>
      </c>
      <c r="N49" s="1788" t="s">
        <v>1469</v>
      </c>
      <c r="O49" s="2182"/>
    </row>
    <row r="50" spans="1:30" ht="16.149999999999999" customHeight="1" x14ac:dyDescent="0.25">
      <c r="B50" s="2181"/>
      <c r="F50" s="1788" t="s">
        <v>1381</v>
      </c>
      <c r="H50" s="1788"/>
      <c r="I50" s="1788"/>
      <c r="K50" s="1788" t="s">
        <v>1163</v>
      </c>
      <c r="L50" s="2077">
        <v>0</v>
      </c>
      <c r="M50" s="2077">
        <v>0</v>
      </c>
      <c r="N50" s="1788" t="s">
        <v>1469</v>
      </c>
      <c r="O50" s="2182"/>
    </row>
    <row r="51" spans="1:30" ht="16.149999999999999" customHeight="1" x14ac:dyDescent="0.25">
      <c r="B51" s="2181"/>
      <c r="F51" s="1788"/>
      <c r="G51" s="1788"/>
      <c r="H51" s="1788"/>
      <c r="I51" s="1788"/>
      <c r="J51" s="1788"/>
      <c r="K51" s="1788"/>
      <c r="L51" s="1788"/>
      <c r="M51" s="1788"/>
      <c r="N51" s="1788"/>
      <c r="O51" s="2182"/>
    </row>
    <row r="52" spans="1:30" ht="16.149999999999999" customHeight="1" x14ac:dyDescent="0.25">
      <c r="B52" s="2181"/>
      <c r="D52" s="1754" t="s">
        <v>1382</v>
      </c>
      <c r="E52" s="1754"/>
      <c r="G52" s="1752"/>
      <c r="H52" s="1752"/>
      <c r="I52" s="1752"/>
      <c r="J52" s="1752"/>
      <c r="K52" s="1752"/>
      <c r="O52" s="2182"/>
    </row>
    <row r="53" spans="1:30" ht="7.5" customHeight="1" x14ac:dyDescent="0.25">
      <c r="B53" s="2181"/>
      <c r="D53" s="1754"/>
      <c r="E53" s="1754"/>
      <c r="G53" s="1752"/>
      <c r="H53" s="1752"/>
      <c r="I53" s="1752"/>
      <c r="J53" s="1752"/>
      <c r="K53" s="1752"/>
      <c r="O53" s="2182"/>
    </row>
    <row r="54" spans="1:30" ht="6" customHeight="1" x14ac:dyDescent="0.25">
      <c r="B54" s="2181"/>
      <c r="F54" s="1789"/>
      <c r="G54" s="1790"/>
      <c r="H54" s="1790"/>
      <c r="I54" s="1790"/>
      <c r="J54" s="1790"/>
      <c r="K54" s="1790"/>
      <c r="L54" s="1789"/>
      <c r="M54" s="1789"/>
      <c r="N54" s="1789"/>
      <c r="O54" s="2182"/>
    </row>
    <row r="55" spans="1:30" ht="16.149999999999999" customHeight="1" x14ac:dyDescent="0.25">
      <c r="B55" s="2181"/>
      <c r="F55" s="1788" t="s">
        <v>1383</v>
      </c>
      <c r="H55" s="1788"/>
      <c r="I55" s="1788"/>
      <c r="J55" s="1788"/>
      <c r="K55" s="1788" t="s">
        <v>1163</v>
      </c>
      <c r="L55" s="2077">
        <v>0</v>
      </c>
      <c r="M55" s="2077">
        <v>0</v>
      </c>
      <c r="N55" s="1788" t="s">
        <v>1469</v>
      </c>
      <c r="O55" s="2182"/>
    </row>
    <row r="56" spans="1:30" ht="16.149999999999999" customHeight="1" x14ac:dyDescent="0.25">
      <c r="B56" s="2181"/>
      <c r="F56" s="1791" t="s">
        <v>1166</v>
      </c>
      <c r="I56" s="1791"/>
      <c r="J56" s="1791"/>
      <c r="K56" s="1791" t="s">
        <v>1163</v>
      </c>
      <c r="L56" s="2077">
        <v>0</v>
      </c>
      <c r="M56" s="2077">
        <v>0</v>
      </c>
      <c r="N56" s="1788" t="s">
        <v>1469</v>
      </c>
      <c r="O56" s="2182"/>
    </row>
    <row r="57" spans="1:30" s="1792" customFormat="1" ht="16.149999999999999" customHeight="1" x14ac:dyDescent="0.25">
      <c r="A57" s="1750"/>
      <c r="B57" s="2181"/>
      <c r="C57" s="1750"/>
      <c r="D57" s="1750"/>
      <c r="E57" s="1788"/>
      <c r="F57" s="1788"/>
      <c r="G57" s="1788"/>
      <c r="H57" s="1788"/>
      <c r="I57" s="1788"/>
      <c r="J57" s="1788"/>
      <c r="K57" s="1788"/>
      <c r="L57" s="1788"/>
      <c r="M57" s="1788"/>
      <c r="N57" s="1750"/>
      <c r="O57" s="2182"/>
      <c r="P57" s="1750"/>
      <c r="Q57" s="1750"/>
      <c r="R57" s="1750"/>
      <c r="S57" s="1750"/>
      <c r="T57" s="1788"/>
      <c r="U57" s="1788"/>
      <c r="V57" s="1788"/>
      <c r="W57" s="1788"/>
      <c r="X57" s="1788"/>
      <c r="Y57" s="1788"/>
      <c r="Z57" s="1788"/>
      <c r="AA57" s="1788"/>
      <c r="AB57" s="1788"/>
      <c r="AC57" s="1750"/>
      <c r="AD57" s="1750"/>
    </row>
    <row r="58" spans="1:30" ht="16.149999999999999" customHeight="1" x14ac:dyDescent="0.25">
      <c r="B58" s="2181"/>
      <c r="D58" s="1754" t="s">
        <v>1384</v>
      </c>
      <c r="E58" s="1788"/>
      <c r="F58" s="1788"/>
      <c r="G58" s="1788"/>
      <c r="H58" s="1788"/>
      <c r="I58" s="1788"/>
      <c r="J58" s="1788"/>
      <c r="K58" s="1788"/>
      <c r="L58" s="1788"/>
      <c r="M58" s="1788"/>
      <c r="O58" s="2182"/>
      <c r="T58" s="1788"/>
      <c r="U58" s="1788"/>
      <c r="V58" s="1788"/>
      <c r="W58" s="1788"/>
      <c r="X58" s="1788"/>
      <c r="Y58" s="1788"/>
      <c r="Z58" s="1788"/>
      <c r="AA58" s="1788"/>
      <c r="AB58" s="1788"/>
    </row>
    <row r="59" spans="1:30" ht="6.75" customHeight="1" x14ac:dyDescent="0.25">
      <c r="B59" s="2181"/>
      <c r="D59" s="1793"/>
      <c r="E59" s="1793"/>
      <c r="F59" s="1788"/>
      <c r="G59" s="1788"/>
      <c r="I59" s="1788"/>
      <c r="J59" s="1788"/>
      <c r="K59" s="1788"/>
      <c r="L59" s="1788"/>
      <c r="M59" s="1794"/>
      <c r="N59" s="1788"/>
      <c r="O59" s="2182"/>
    </row>
    <row r="60" spans="1:30" s="1792" customFormat="1" ht="6" customHeight="1" x14ac:dyDescent="0.25">
      <c r="B60" s="2184"/>
      <c r="E60" s="1788"/>
      <c r="F60" s="1788"/>
      <c r="G60" s="1788"/>
      <c r="H60" s="1788"/>
      <c r="I60" s="1788"/>
      <c r="J60" s="1788"/>
      <c r="K60" s="1788"/>
      <c r="L60" s="1788"/>
      <c r="M60" s="1788"/>
      <c r="N60" s="1788"/>
      <c r="O60" s="2185"/>
      <c r="P60" s="1788"/>
    </row>
    <row r="61" spans="1:30" ht="16.149999999999999" customHeight="1" x14ac:dyDescent="0.25">
      <c r="B61" s="2181"/>
      <c r="F61" s="1788"/>
      <c r="G61" s="1788" t="s">
        <v>1698</v>
      </c>
      <c r="H61" s="1788"/>
      <c r="I61" s="1788"/>
      <c r="J61" s="1788"/>
      <c r="K61" s="1788"/>
      <c r="L61" s="1788"/>
      <c r="M61" s="2077">
        <v>0</v>
      </c>
      <c r="N61" s="1788" t="s">
        <v>1469</v>
      </c>
      <c r="O61" s="2185"/>
      <c r="P61" s="1788"/>
      <c r="Q61" s="1788"/>
      <c r="R61" s="1788"/>
      <c r="S61" s="1788"/>
      <c r="T61" s="1788"/>
    </row>
    <row r="62" spans="1:30" ht="16.149999999999999" customHeight="1" x14ac:dyDescent="0.35">
      <c r="B62" s="2181"/>
      <c r="F62" s="1788"/>
      <c r="G62" s="1788" t="s">
        <v>1470</v>
      </c>
      <c r="H62" s="1788"/>
      <c r="I62" s="1788"/>
      <c r="J62" s="1788"/>
      <c r="K62" s="1788"/>
      <c r="L62" s="1788"/>
      <c r="M62" s="2077">
        <v>0</v>
      </c>
      <c r="N62" s="1788" t="s">
        <v>1469</v>
      </c>
      <c r="O62" s="2185"/>
      <c r="P62" s="1788"/>
      <c r="Q62" s="1788"/>
      <c r="R62" s="1788"/>
      <c r="S62" s="1788"/>
      <c r="T62" s="1788"/>
    </row>
    <row r="63" spans="1:30" ht="16.149999999999999" customHeight="1" x14ac:dyDescent="0.25">
      <c r="B63" s="2181"/>
      <c r="F63" s="1788"/>
      <c r="G63" s="1795" t="s">
        <v>1471</v>
      </c>
      <c r="H63" s="1788"/>
      <c r="I63" s="1788"/>
      <c r="J63" s="1788"/>
      <c r="K63" s="1788"/>
      <c r="L63" s="1788"/>
      <c r="M63" s="1788"/>
      <c r="N63" s="1788"/>
      <c r="O63" s="2185"/>
      <c r="P63" s="1788"/>
      <c r="Q63" s="1788"/>
      <c r="R63" s="1788"/>
      <c r="S63" s="1788"/>
      <c r="T63" s="1788"/>
    </row>
    <row r="64" spans="1:30" ht="16.149999999999999" customHeight="1" thickBot="1" x14ac:dyDescent="0.3">
      <c r="B64" s="2181"/>
      <c r="D64" s="1775"/>
      <c r="E64" s="1775"/>
      <c r="F64" s="1782"/>
      <c r="G64" s="1782"/>
      <c r="H64" s="1782"/>
      <c r="I64" s="1782"/>
      <c r="J64" s="1782"/>
      <c r="K64" s="1782"/>
      <c r="L64" s="1782"/>
      <c r="M64" s="1782"/>
      <c r="N64" s="1782"/>
      <c r="O64" s="2185"/>
      <c r="P64" s="1788"/>
      <c r="Q64" s="1788"/>
      <c r="R64" s="1788"/>
      <c r="S64" s="1788"/>
      <c r="T64" s="1788"/>
    </row>
    <row r="65" spans="2:15" ht="16.149999999999999" customHeight="1" x14ac:dyDescent="0.25">
      <c r="B65" s="2181"/>
      <c r="F65" s="1788"/>
      <c r="G65" s="1796"/>
      <c r="I65" s="1788"/>
      <c r="J65" s="1788" t="s">
        <v>1472</v>
      </c>
      <c r="K65" s="1788"/>
      <c r="L65" s="1788"/>
      <c r="M65" s="1794"/>
      <c r="N65" s="1788"/>
      <c r="O65" s="2182"/>
    </row>
    <row r="66" spans="2:15" x14ac:dyDescent="0.25">
      <c r="B66" s="2181"/>
      <c r="C66" s="1753" t="s">
        <v>1473</v>
      </c>
      <c r="D66" s="1754" t="s">
        <v>1474</v>
      </c>
      <c r="E66" s="1754"/>
      <c r="G66" s="1755"/>
      <c r="H66" s="1755"/>
      <c r="I66" s="1755"/>
      <c r="J66" s="1755"/>
      <c r="K66" s="1755"/>
      <c r="L66" s="1755"/>
      <c r="M66" s="1756"/>
      <c r="N66" s="2078">
        <f>IF(K74&gt;=0.7599,10,IF(K74&gt;0.5099,8,IF(K74&gt;0.2599,6,IF(K74&gt;0.1599,4,IF(K74&gt;0.0002,2,IF(K74&gt;=0,0))))))</f>
        <v>0</v>
      </c>
      <c r="O66" s="2182"/>
    </row>
    <row r="67" spans="2:15" ht="10.5" customHeight="1" x14ac:dyDescent="0.25">
      <c r="B67" s="2181"/>
      <c r="D67" s="1755"/>
      <c r="E67" s="1755"/>
      <c r="F67" s="1754"/>
      <c r="G67" s="1755"/>
      <c r="H67" s="1755"/>
      <c r="I67" s="1755"/>
      <c r="J67" s="1755"/>
      <c r="K67" s="1755"/>
      <c r="L67" s="1755"/>
      <c r="M67" s="1779"/>
      <c r="N67" s="1757"/>
      <c r="O67" s="2182"/>
    </row>
    <row r="68" spans="2:15" ht="6.75" customHeight="1" x14ac:dyDescent="0.25">
      <c r="B68" s="2181"/>
      <c r="D68" s="1754"/>
      <c r="E68" s="1754"/>
      <c r="F68" s="1793"/>
      <c r="O68" s="2182"/>
    </row>
    <row r="69" spans="2:15" x14ac:dyDescent="0.25">
      <c r="B69" s="2181"/>
      <c r="F69" s="2754" t="s">
        <v>1160</v>
      </c>
      <c r="G69" s="2755"/>
      <c r="H69" s="2755"/>
      <c r="I69" s="2755"/>
      <c r="J69" s="2755"/>
      <c r="K69" s="2755"/>
      <c r="L69" s="2755"/>
      <c r="M69" s="2756"/>
      <c r="N69" s="1797"/>
      <c r="O69" s="2182"/>
    </row>
    <row r="70" spans="2:15" x14ac:dyDescent="0.25">
      <c r="B70" s="2181"/>
      <c r="F70" s="1798"/>
      <c r="I70" s="1798"/>
      <c r="L70" s="1798"/>
      <c r="O70" s="2182"/>
    </row>
    <row r="71" spans="2:15" x14ac:dyDescent="0.25">
      <c r="B71" s="2181"/>
      <c r="G71" s="1793" t="s">
        <v>1385</v>
      </c>
      <c r="O71" s="2182"/>
    </row>
    <row r="72" spans="2:15" x14ac:dyDescent="0.25">
      <c r="B72" s="2181"/>
      <c r="G72" s="1750" t="s">
        <v>1386</v>
      </c>
      <c r="I72" s="1799"/>
      <c r="K72" s="2079">
        <v>0</v>
      </c>
      <c r="L72" s="1798"/>
      <c r="O72" s="2182"/>
    </row>
    <row r="73" spans="2:15" x14ac:dyDescent="0.25">
      <c r="B73" s="2181"/>
      <c r="G73" s="1750" t="s">
        <v>1387</v>
      </c>
      <c r="H73" s="1800"/>
      <c r="I73" s="1799"/>
      <c r="K73" s="2080">
        <f>'8A'!L45</f>
        <v>0</v>
      </c>
      <c r="L73" s="1798" t="s">
        <v>1769</v>
      </c>
      <c r="O73" s="2182"/>
    </row>
    <row r="74" spans="2:15" x14ac:dyDescent="0.25">
      <c r="B74" s="2181"/>
      <c r="G74" s="1750" t="s">
        <v>1388</v>
      </c>
      <c r="H74" s="1800"/>
      <c r="I74" s="1799"/>
      <c r="K74" s="2081">
        <f>IFERROR(K72/K73,0)</f>
        <v>0</v>
      </c>
      <c r="L74" s="1801"/>
      <c r="M74" s="1802"/>
      <c r="N74" s="1803"/>
      <c r="O74" s="2182"/>
    </row>
    <row r="75" spans="2:15" ht="17.25" customHeight="1" thickBot="1" x14ac:dyDescent="0.3">
      <c r="B75" s="2181"/>
      <c r="D75" s="1775"/>
      <c r="E75" s="1775"/>
      <c r="F75" s="1804"/>
      <c r="G75" s="1775"/>
      <c r="H75" s="1775"/>
      <c r="I75" s="1805"/>
      <c r="J75" s="1806"/>
      <c r="K75" s="1807"/>
      <c r="L75" s="1807"/>
      <c r="M75" s="1807"/>
      <c r="N75" s="1807"/>
      <c r="O75" s="2182"/>
    </row>
    <row r="76" spans="2:15" ht="17.25" customHeight="1" x14ac:dyDescent="0.25">
      <c r="B76" s="2181"/>
      <c r="F76" s="1798"/>
      <c r="I76" s="1800"/>
      <c r="J76" s="1799"/>
      <c r="K76" s="1802"/>
      <c r="L76" s="1802"/>
      <c r="M76" s="1802"/>
      <c r="N76" s="1802"/>
      <c r="O76" s="2182"/>
    </row>
    <row r="77" spans="2:15" x14ac:dyDescent="0.25">
      <c r="B77" s="2181"/>
      <c r="C77" s="1753" t="s">
        <v>1475</v>
      </c>
      <c r="D77" s="1754" t="s">
        <v>1476</v>
      </c>
      <c r="E77" s="1754"/>
      <c r="G77" s="1755"/>
      <c r="H77" s="1755"/>
      <c r="I77" s="1755"/>
      <c r="J77" s="1755"/>
      <c r="K77" s="1755"/>
      <c r="L77" s="1755"/>
      <c r="M77" s="1756"/>
      <c r="N77" s="2073">
        <f>IF(F79="Yes",1,0)</f>
        <v>0</v>
      </c>
      <c r="O77" s="2182"/>
    </row>
    <row r="78" spans="2:15" ht="13.5" customHeight="1" x14ac:dyDescent="0.25">
      <c r="B78" s="2181"/>
      <c r="D78" s="1808"/>
      <c r="E78" s="1808"/>
      <c r="F78" s="1808"/>
      <c r="G78" s="1808"/>
      <c r="H78" s="1808"/>
      <c r="I78" s="1808"/>
      <c r="J78" s="1808"/>
      <c r="K78" s="1808"/>
      <c r="L78" s="1808"/>
      <c r="O78" s="2182"/>
    </row>
    <row r="79" spans="2:15" x14ac:dyDescent="0.25">
      <c r="B79" s="2181"/>
      <c r="D79" s="1754"/>
      <c r="E79" s="1793"/>
      <c r="F79" s="2754" t="s">
        <v>1160</v>
      </c>
      <c r="G79" s="2755"/>
      <c r="H79" s="2755"/>
      <c r="I79" s="2755"/>
      <c r="J79" s="2755"/>
      <c r="K79" s="2755"/>
      <c r="L79" s="2755"/>
      <c r="M79" s="2756"/>
      <c r="N79" s="1809"/>
      <c r="O79" s="2182"/>
    </row>
    <row r="80" spans="2:15" x14ac:dyDescent="0.25">
      <c r="B80" s="2181"/>
      <c r="H80" s="1798"/>
      <c r="K80" s="1798"/>
      <c r="N80" s="1809"/>
      <c r="O80" s="2182"/>
    </row>
    <row r="81" spans="1:15" x14ac:dyDescent="0.25">
      <c r="B81" s="2181"/>
      <c r="F81" s="2757" t="s">
        <v>1477</v>
      </c>
      <c r="G81" s="2758"/>
      <c r="H81" s="2758"/>
      <c r="I81" s="2758"/>
      <c r="J81" s="2758"/>
      <c r="K81" s="2758"/>
      <c r="L81" s="2758"/>
      <c r="M81" s="1751"/>
      <c r="O81" s="2182"/>
    </row>
    <row r="82" spans="1:15" x14ac:dyDescent="0.25">
      <c r="B82" s="2181"/>
      <c r="F82" s="2758"/>
      <c r="G82" s="2758"/>
      <c r="H82" s="2758"/>
      <c r="I82" s="2758"/>
      <c r="J82" s="2758"/>
      <c r="K82" s="2758"/>
      <c r="L82" s="2758"/>
      <c r="M82" s="1751"/>
      <c r="O82" s="2182"/>
    </row>
    <row r="83" spans="1:15" x14ac:dyDescent="0.25">
      <c r="B83" s="2181"/>
      <c r="F83" s="2758"/>
      <c r="G83" s="2758"/>
      <c r="H83" s="2758"/>
      <c r="I83" s="2758"/>
      <c r="J83" s="2758"/>
      <c r="K83" s="2758"/>
      <c r="L83" s="2758"/>
      <c r="M83" s="1751"/>
      <c r="O83" s="2182"/>
    </row>
    <row r="84" spans="1:15" x14ac:dyDescent="0.25">
      <c r="B84" s="2181"/>
      <c r="C84" s="1755"/>
      <c r="F84" s="2758"/>
      <c r="G84" s="2758"/>
      <c r="H84" s="2758"/>
      <c r="I84" s="2758"/>
      <c r="J84" s="2758"/>
      <c r="K84" s="2758"/>
      <c r="L84" s="2758"/>
      <c r="M84" s="1751"/>
      <c r="O84" s="2182"/>
    </row>
    <row r="85" spans="1:15" s="1809" customFormat="1" ht="15.75" thickBot="1" x14ac:dyDescent="0.3">
      <c r="A85" s="1750"/>
      <c r="B85" s="2181"/>
      <c r="C85" s="1750"/>
      <c r="D85" s="1775"/>
      <c r="E85" s="1804"/>
      <c r="F85" s="1775"/>
      <c r="G85" s="1775"/>
      <c r="H85" s="1805"/>
      <c r="I85" s="1806"/>
      <c r="J85" s="1807"/>
      <c r="K85" s="1807"/>
      <c r="L85" s="1807"/>
      <c r="M85" s="1807"/>
      <c r="N85" s="1810"/>
      <c r="O85" s="2186"/>
    </row>
    <row r="86" spans="1:15" x14ac:dyDescent="0.25">
      <c r="B86" s="2181"/>
      <c r="F86" s="1798"/>
      <c r="I86" s="1800"/>
      <c r="J86" s="1799"/>
      <c r="K86" s="1802"/>
      <c r="L86" s="1802"/>
      <c r="M86" s="1802"/>
      <c r="N86" s="1802"/>
      <c r="O86" s="2182"/>
    </row>
    <row r="87" spans="1:15" x14ac:dyDescent="0.25">
      <c r="B87" s="2181"/>
      <c r="C87" s="1755" t="s">
        <v>1478</v>
      </c>
      <c r="D87" s="1754" t="s">
        <v>1479</v>
      </c>
      <c r="E87" s="1754"/>
      <c r="G87" s="1755"/>
      <c r="H87" s="1755"/>
      <c r="I87" s="1755"/>
      <c r="J87" s="1755"/>
      <c r="K87" s="1755"/>
      <c r="L87" s="1755"/>
      <c r="M87" s="1756"/>
      <c r="N87" s="2078">
        <f>IF(J96&gt;0.1499,10,IF(J96&gt;0.0999,5,IF(J96&gt;0.0499,3,IF(J96&gt;=0,0))))</f>
        <v>0</v>
      </c>
      <c r="O87" s="2182"/>
    </row>
    <row r="88" spans="1:15" ht="7.5" customHeight="1" x14ac:dyDescent="0.25">
      <c r="B88" s="2181"/>
      <c r="D88" s="1755"/>
      <c r="E88" s="1755"/>
      <c r="F88" s="1754"/>
      <c r="G88" s="1755"/>
      <c r="H88" s="1755"/>
      <c r="I88" s="1755"/>
      <c r="J88" s="1755"/>
      <c r="K88" s="1755"/>
      <c r="L88" s="1755"/>
      <c r="M88" s="1779"/>
      <c r="N88" s="1757"/>
      <c r="O88" s="2182"/>
    </row>
    <row r="89" spans="1:15" ht="25.5" customHeight="1" x14ac:dyDescent="0.25">
      <c r="B89" s="2181"/>
      <c r="D89" s="2759" t="s">
        <v>1389</v>
      </c>
      <c r="E89" s="2759"/>
      <c r="F89" s="2759"/>
      <c r="G89" s="2759"/>
      <c r="H89" s="2759"/>
      <c r="I89" s="2759"/>
      <c r="J89" s="2759"/>
      <c r="K89" s="2759"/>
      <c r="L89" s="2759"/>
      <c r="M89" s="2759"/>
      <c r="N89" s="2759"/>
      <c r="O89" s="2182"/>
    </row>
    <row r="90" spans="1:15" ht="9" customHeight="1" x14ac:dyDescent="0.25">
      <c r="B90" s="2181"/>
      <c r="D90" s="1754"/>
      <c r="E90" s="1754"/>
      <c r="O90" s="2182"/>
    </row>
    <row r="91" spans="1:15" ht="15" customHeight="1" x14ac:dyDescent="0.25">
      <c r="B91" s="2181"/>
      <c r="D91" s="1754"/>
      <c r="E91" s="1754"/>
      <c r="F91" s="2754" t="s">
        <v>1160</v>
      </c>
      <c r="G91" s="2755"/>
      <c r="H91" s="2755"/>
      <c r="I91" s="2755"/>
      <c r="J91" s="2755"/>
      <c r="K91" s="2755"/>
      <c r="L91" s="2755"/>
      <c r="M91" s="2756"/>
      <c r="N91" s="1811"/>
      <c r="O91" s="2182"/>
    </row>
    <row r="92" spans="1:15" ht="13.5" customHeight="1" x14ac:dyDescent="0.25">
      <c r="B92" s="2181"/>
      <c r="D92" s="1754"/>
      <c r="E92" s="1754"/>
      <c r="F92" s="1809"/>
      <c r="G92" s="1809"/>
      <c r="H92" s="1809"/>
      <c r="I92" s="1809"/>
      <c r="J92" s="1809"/>
      <c r="K92" s="1809"/>
      <c r="L92" s="1809"/>
      <c r="M92" s="1809"/>
      <c r="N92" s="1809"/>
      <c r="O92" s="2182"/>
    </row>
    <row r="93" spans="1:15" x14ac:dyDescent="0.25">
      <c r="B93" s="2181"/>
      <c r="G93" s="1793" t="s">
        <v>1390</v>
      </c>
      <c r="O93" s="2182"/>
    </row>
    <row r="94" spans="1:15" x14ac:dyDescent="0.25">
      <c r="B94" s="2181"/>
      <c r="G94" s="1750" t="s">
        <v>1391</v>
      </c>
      <c r="I94" s="1799"/>
      <c r="J94" s="2740"/>
      <c r="K94" s="2741"/>
      <c r="L94" s="1809"/>
      <c r="M94" s="1809"/>
      <c r="O94" s="2182"/>
    </row>
    <row r="95" spans="1:15" x14ac:dyDescent="0.25">
      <c r="B95" s="2181"/>
      <c r="G95" s="1750" t="s">
        <v>151</v>
      </c>
      <c r="H95" s="1800"/>
      <c r="I95" s="1812"/>
      <c r="J95" s="2760">
        <f>'6C'!I118</f>
        <v>0</v>
      </c>
      <c r="K95" s="2761"/>
      <c r="L95" s="1798" t="s">
        <v>1810</v>
      </c>
      <c r="M95" s="1809"/>
      <c r="O95" s="2182"/>
    </row>
    <row r="96" spans="1:15" x14ac:dyDescent="0.25">
      <c r="B96" s="2181"/>
      <c r="G96" s="1750" t="s">
        <v>1173</v>
      </c>
      <c r="H96" s="1800"/>
      <c r="I96" s="1799"/>
      <c r="J96" s="2762">
        <f>IFERROR(J94/J95,0)</f>
        <v>0</v>
      </c>
      <c r="K96" s="2763"/>
      <c r="L96" s="1809"/>
      <c r="M96" s="1809"/>
      <c r="O96" s="2182"/>
    </row>
    <row r="97" spans="1:15" ht="15.75" thickBot="1" x14ac:dyDescent="0.3">
      <c r="B97" s="2181"/>
      <c r="E97" s="1775"/>
      <c r="F97" s="1775"/>
      <c r="G97" s="1775"/>
      <c r="H97" s="1805"/>
      <c r="I97" s="1806"/>
      <c r="J97" s="1813"/>
      <c r="K97" s="1813"/>
      <c r="L97" s="1810"/>
      <c r="M97" s="1810"/>
      <c r="N97" s="1775"/>
      <c r="O97" s="2182"/>
    </row>
    <row r="98" spans="1:15" x14ac:dyDescent="0.25">
      <c r="B98" s="2181"/>
      <c r="O98" s="2182"/>
    </row>
    <row r="99" spans="1:15" x14ac:dyDescent="0.25">
      <c r="B99" s="2181"/>
      <c r="C99" s="1815" t="s">
        <v>1480</v>
      </c>
      <c r="D99" s="1754" t="s">
        <v>1784</v>
      </c>
      <c r="M99" s="1756"/>
      <c r="N99" s="2078">
        <f>IF(M124&gt;=0.25,5,IF(M124&gt;=0.2,4,IF(M124&gt;=0.15,3,IF(M124&gt;=0.1,2,IF(M124&gt;=0.05,1,IF(M124&gt;=0,0,0))))))</f>
        <v>0</v>
      </c>
      <c r="O99" s="2182"/>
    </row>
    <row r="100" spans="1:15" x14ac:dyDescent="0.25">
      <c r="B100" s="2181"/>
      <c r="O100" s="2182"/>
    </row>
    <row r="101" spans="1:15" s="1809" customFormat="1" ht="42.6" customHeight="1" x14ac:dyDescent="0.25">
      <c r="A101" s="1750"/>
      <c r="B101" s="2181"/>
      <c r="C101" s="2116"/>
      <c r="D101" s="2759" t="s">
        <v>1699</v>
      </c>
      <c r="E101" s="2759"/>
      <c r="F101" s="2759"/>
      <c r="G101" s="2759"/>
      <c r="H101" s="2759"/>
      <c r="I101" s="2759"/>
      <c r="J101" s="2759"/>
      <c r="K101" s="2759"/>
      <c r="L101" s="2759"/>
      <c r="M101" s="2759"/>
      <c r="N101" s="2759"/>
      <c r="O101" s="2186"/>
    </row>
    <row r="102" spans="1:15" ht="8.25" customHeight="1" x14ac:dyDescent="0.25">
      <c r="B102" s="2181"/>
      <c r="O102" s="2182"/>
    </row>
    <row r="103" spans="1:15" x14ac:dyDescent="0.25">
      <c r="B103" s="2181"/>
      <c r="F103" s="2112" t="s">
        <v>1743</v>
      </c>
      <c r="G103" s="2008"/>
      <c r="H103" s="2112"/>
      <c r="I103" s="2112"/>
      <c r="J103" s="2112"/>
      <c r="K103" s="2734" t="s">
        <v>1577</v>
      </c>
      <c r="L103" s="2735"/>
      <c r="M103" s="2112"/>
      <c r="N103" s="2112"/>
      <c r="O103" s="2182"/>
    </row>
    <row r="104" spans="1:15" ht="8.25" customHeight="1" x14ac:dyDescent="0.25">
      <c r="B104" s="2181"/>
      <c r="F104" s="2112"/>
      <c r="G104" s="2008"/>
      <c r="H104" s="2112"/>
      <c r="I104" s="2112"/>
      <c r="J104" s="2112"/>
      <c r="K104" s="2112"/>
      <c r="L104" s="2112"/>
      <c r="M104" s="2112"/>
      <c r="N104" s="2112"/>
      <c r="O104" s="2182"/>
    </row>
    <row r="105" spans="1:15" x14ac:dyDescent="0.25">
      <c r="B105" s="2181"/>
      <c r="F105" s="2008"/>
      <c r="G105" s="2008"/>
      <c r="H105" s="2112"/>
      <c r="I105" s="2010" t="s">
        <v>39</v>
      </c>
      <c r="J105" s="2010" t="s">
        <v>1752</v>
      </c>
      <c r="K105" s="2010" t="s">
        <v>1753</v>
      </c>
      <c r="L105" s="2010" t="s">
        <v>1754</v>
      </c>
      <c r="M105" s="2010" t="s">
        <v>1755</v>
      </c>
      <c r="O105" s="2182"/>
    </row>
    <row r="106" spans="1:15" x14ac:dyDescent="0.25">
      <c r="B106" s="2181"/>
      <c r="F106" s="2112" t="s">
        <v>1744</v>
      </c>
      <c r="G106" s="2008"/>
      <c r="H106" s="2112"/>
      <c r="I106" s="2011">
        <f>'8A'!E48+'8A'!F48</f>
        <v>0</v>
      </c>
      <c r="J106" s="2011">
        <f>'8A'!G48</f>
        <v>0</v>
      </c>
      <c r="K106" s="2011">
        <f>'8A'!H48</f>
        <v>0</v>
      </c>
      <c r="L106" s="2011">
        <f>'8A'!I48</f>
        <v>0</v>
      </c>
      <c r="M106" s="2011">
        <f>'8A'!J48+'8A'!K48</f>
        <v>0</v>
      </c>
      <c r="O106" s="2182"/>
    </row>
    <row r="107" spans="1:15" ht="3.75" customHeight="1" x14ac:dyDescent="0.25">
      <c r="B107" s="2181"/>
      <c r="F107" s="2112"/>
      <c r="G107" s="2008"/>
      <c r="H107" s="2112"/>
      <c r="I107" s="2063"/>
      <c r="J107" s="2063"/>
      <c r="K107" s="2063"/>
      <c r="L107" s="2063"/>
      <c r="M107" s="2063"/>
      <c r="O107" s="2182"/>
    </row>
    <row r="108" spans="1:15" x14ac:dyDescent="0.25">
      <c r="B108" s="2181"/>
      <c r="F108" s="2112" t="s">
        <v>1745</v>
      </c>
      <c r="G108" s="2008"/>
      <c r="H108" s="2112"/>
      <c r="I108" s="2013">
        <f>IF(K103="King County",Tax_Credit_Numbers!C9,IF(K103="Pierce/Snohomish",Tax_Credit_Numbers!C10,IF(K103="Metro Counties",Tax_Credit_Numbers!C11,IF(K103="Balance of State",Tax_Credit_Numbers!C12, IF(K103="Select from List",0)))))</f>
        <v>0</v>
      </c>
      <c r="J108" s="2013">
        <f>IF(K103="King County",Tax_Credit_Numbers!D9,IF(K103="Pierce/Snohomish",Tax_Credit_Numbers!D10,IF(K103="Metro Counties",Tax_Credit_Numbers!D11,IF(K103="Balance of State",Tax_Credit_Numbers!D12, IF(K103="Select from List",0)))))</f>
        <v>0</v>
      </c>
      <c r="K108" s="2013">
        <f>IF(K103="King County",Tax_Credit_Numbers!E9,IF(K103="Pierce/Snohomish",Tax_Credit_Numbers!E10,IF(K103="Metro Counties",Tax_Credit_Numbers!E11,IF(K103="Balance of State",Tax_Credit_Numbers!E12, IF(K103="Select from List",0)))))</f>
        <v>0</v>
      </c>
      <c r="L108" s="2013">
        <f>IF(K103="King County",Tax_Credit_Numbers!F9,IF(K103="Pierce/Snohomish",Tax_Credit_Numbers!F10,IF(K103="Metro Counties",Tax_Credit_Numbers!F11,IF(K103="Balance of State",Tax_Credit_Numbers!F12, IF(K103="Select from List",0)))))</f>
        <v>0</v>
      </c>
      <c r="M108" s="2013">
        <f>IF(K103="King County",Tax_Credit_Numbers!G9,IF(K103="Pierce/Snohomish",Tax_Credit_Numbers!G10,IF(K103="Metro Counties",Tax_Credit_Numbers!G11,IF(K103="Balance of State",Tax_Credit_Numbers!G12, IF(K103="Select from List",0)))))</f>
        <v>0</v>
      </c>
      <c r="O108" s="2182"/>
    </row>
    <row r="109" spans="1:15" ht="3.75" customHeight="1" x14ac:dyDescent="0.25">
      <c r="B109" s="2181"/>
      <c r="F109" s="2112"/>
      <c r="G109" s="2008"/>
      <c r="H109" s="2112"/>
      <c r="I109" s="2065"/>
      <c r="J109" s="2065"/>
      <c r="K109" s="2065"/>
      <c r="L109" s="2065"/>
      <c r="M109" s="2065"/>
      <c r="O109" s="2182"/>
    </row>
    <row r="110" spans="1:15" x14ac:dyDescent="0.25">
      <c r="B110" s="2181"/>
      <c r="F110" s="2112" t="s">
        <v>1746</v>
      </c>
      <c r="G110" s="2008"/>
      <c r="H110" s="2112"/>
      <c r="I110" s="2014">
        <f>I108*I106</f>
        <v>0</v>
      </c>
      <c r="J110" s="2014">
        <f t="shared" ref="J110:L110" si="0">J108*J106</f>
        <v>0</v>
      </c>
      <c r="K110" s="2014">
        <f t="shared" si="0"/>
        <v>0</v>
      </c>
      <c r="L110" s="2014">
        <f t="shared" si="0"/>
        <v>0</v>
      </c>
      <c r="M110" s="2014">
        <f>M108*M106</f>
        <v>0</v>
      </c>
      <c r="O110" s="2182"/>
    </row>
    <row r="111" spans="1:15" ht="8.25" customHeight="1" thickBot="1" x14ac:dyDescent="0.3">
      <c r="B111" s="2181"/>
      <c r="F111" s="2112"/>
      <c r="G111" s="2008"/>
      <c r="H111" s="2112"/>
      <c r="I111" s="2066"/>
      <c r="J111" s="2066"/>
      <c r="K111" s="2066"/>
      <c r="L111" s="2066"/>
      <c r="M111" s="2066"/>
      <c r="O111" s="2182"/>
    </row>
    <row r="112" spans="1:15" ht="16.5" thickTop="1" thickBot="1" x14ac:dyDescent="0.3">
      <c r="B112" s="2181"/>
      <c r="F112" s="2008"/>
      <c r="G112" s="2008"/>
      <c r="H112" s="2112"/>
      <c r="I112" s="2008"/>
      <c r="J112" s="2112" t="s">
        <v>1747</v>
      </c>
      <c r="K112" s="2112"/>
      <c r="L112" s="2112"/>
      <c r="M112" s="2012">
        <f>SUM(I110:M110)</f>
        <v>0</v>
      </c>
      <c r="O112" s="2182"/>
    </row>
    <row r="113" spans="2:15" ht="15.75" thickTop="1" x14ac:dyDescent="0.25">
      <c r="B113" s="2181"/>
      <c r="F113" s="2112"/>
      <c r="G113" s="2008"/>
      <c r="H113" s="2112"/>
      <c r="I113" s="2112"/>
      <c r="J113" s="2112"/>
      <c r="K113" s="2112"/>
      <c r="L113" s="2112"/>
      <c r="M113" s="2112"/>
      <c r="O113" s="2182"/>
    </row>
    <row r="114" spans="2:15" x14ac:dyDescent="0.25">
      <c r="B114" s="2181"/>
      <c r="F114" s="2008"/>
      <c r="G114" s="2008"/>
      <c r="H114" s="2112"/>
      <c r="I114" s="2112"/>
      <c r="J114" s="2112" t="s">
        <v>238</v>
      </c>
      <c r="K114" s="2112"/>
      <c r="L114" s="2112"/>
      <c r="M114" s="2015">
        <f>'6A'!K120</f>
        <v>0</v>
      </c>
      <c r="O114" s="2182"/>
    </row>
    <row r="115" spans="2:15" ht="3.75" customHeight="1" x14ac:dyDescent="0.25">
      <c r="B115" s="2181"/>
      <c r="F115" s="2008"/>
      <c r="G115" s="2008"/>
      <c r="H115" s="2112"/>
      <c r="I115" s="2112"/>
      <c r="J115" s="2112"/>
      <c r="K115" s="2112"/>
      <c r="L115" s="2112"/>
      <c r="M115" s="2112"/>
      <c r="O115" s="2182"/>
    </row>
    <row r="116" spans="2:15" x14ac:dyDescent="0.25">
      <c r="B116" s="2181"/>
      <c r="F116" s="2008"/>
      <c r="G116" s="2008"/>
      <c r="H116" s="2112"/>
      <c r="I116" s="2112"/>
      <c r="J116" s="2112" t="s">
        <v>1748</v>
      </c>
      <c r="K116" s="2112"/>
      <c r="L116" s="2112"/>
      <c r="M116" s="2016">
        <f>'6A'!K22</f>
        <v>0</v>
      </c>
      <c r="O116" s="2182"/>
    </row>
    <row r="117" spans="2:15" ht="3.75" customHeight="1" x14ac:dyDescent="0.25">
      <c r="B117" s="2181"/>
      <c r="F117" s="2008"/>
      <c r="G117" s="2008"/>
      <c r="H117" s="2112"/>
      <c r="I117" s="2112"/>
      <c r="J117" s="2112"/>
      <c r="K117" s="2112"/>
      <c r="L117" s="2112"/>
      <c r="M117" s="2063"/>
      <c r="O117" s="2182"/>
    </row>
    <row r="118" spans="2:15" x14ac:dyDescent="0.25">
      <c r="B118" s="2181"/>
      <c r="F118" s="2008"/>
      <c r="G118" s="2008"/>
      <c r="H118" s="2112"/>
      <c r="I118" s="2112"/>
      <c r="J118" s="2112" t="s">
        <v>1749</v>
      </c>
      <c r="K118" s="2112"/>
      <c r="L118" s="2072"/>
      <c r="M118" s="2016">
        <f>'6A'!K40</f>
        <v>0</v>
      </c>
      <c r="O118" s="2182"/>
    </row>
    <row r="119" spans="2:15" ht="3.75" customHeight="1" x14ac:dyDescent="0.25">
      <c r="B119" s="2181"/>
      <c r="F119" s="2008"/>
      <c r="G119" s="2008"/>
      <c r="H119" s="2112"/>
      <c r="I119" s="2112"/>
      <c r="J119" s="2112"/>
      <c r="K119" s="2112"/>
      <c r="L119" s="2112"/>
      <c r="M119" s="2065"/>
      <c r="O119" s="2182"/>
    </row>
    <row r="120" spans="2:15" x14ac:dyDescent="0.25">
      <c r="B120" s="2181"/>
      <c r="F120" s="2008"/>
      <c r="G120" s="2008"/>
      <c r="H120" s="2112"/>
      <c r="I120" s="2112"/>
      <c r="J120" s="2112" t="s">
        <v>1750</v>
      </c>
      <c r="K120" s="2112"/>
      <c r="L120" s="2072"/>
      <c r="M120" s="2016">
        <f>'6A'!K93</f>
        <v>0</v>
      </c>
      <c r="O120" s="2182"/>
    </row>
    <row r="121" spans="2:15" ht="3.75" customHeight="1" thickBot="1" x14ac:dyDescent="0.3">
      <c r="B121" s="2181"/>
      <c r="F121" s="2008"/>
      <c r="G121" s="2008"/>
      <c r="H121" s="2112"/>
      <c r="I121" s="2112"/>
      <c r="J121" s="2112"/>
      <c r="K121" s="2112"/>
      <c r="L121" s="2112"/>
      <c r="M121" s="2112"/>
      <c r="O121" s="2182"/>
    </row>
    <row r="122" spans="2:15" ht="15.75" thickTop="1" x14ac:dyDescent="0.25">
      <c r="B122" s="2181"/>
      <c r="F122" s="2008"/>
      <c r="G122" s="2008"/>
      <c r="H122" s="2112"/>
      <c r="I122" s="2112"/>
      <c r="J122" s="2070" t="s">
        <v>1751</v>
      </c>
      <c r="K122" s="2070"/>
      <c r="L122" s="2071"/>
      <c r="M122" s="2017">
        <f>M114-(M116+M118+M120)</f>
        <v>0</v>
      </c>
      <c r="N122" s="2090"/>
      <c r="O122" s="2182"/>
    </row>
    <row r="123" spans="2:15" ht="8.25" customHeight="1" x14ac:dyDescent="0.25">
      <c r="B123" s="2181"/>
      <c r="F123" s="2008"/>
      <c r="G123" s="2008"/>
      <c r="H123" s="2112"/>
      <c r="I123" s="2112"/>
      <c r="J123" s="2112"/>
      <c r="K123" s="2112"/>
      <c r="L123" s="2112"/>
      <c r="M123" s="2092"/>
      <c r="O123" s="2182"/>
    </row>
    <row r="124" spans="2:15" x14ac:dyDescent="0.25">
      <c r="B124" s="2181"/>
      <c r="H124" s="1800"/>
      <c r="I124" s="1799"/>
      <c r="J124" s="1815" t="s">
        <v>1803</v>
      </c>
      <c r="K124" s="740"/>
      <c r="L124" s="1809"/>
      <c r="M124" s="2091">
        <f>IFERROR(((M112-M122)/M112),0)</f>
        <v>0</v>
      </c>
      <c r="N124" s="2196"/>
      <c r="O124" s="2182"/>
    </row>
    <row r="125" spans="2:15" ht="15.75" thickBot="1" x14ac:dyDescent="0.3">
      <c r="B125" s="2181"/>
      <c r="D125" s="1775"/>
      <c r="E125" s="1775"/>
      <c r="F125" s="1775"/>
      <c r="G125" s="1775"/>
      <c r="H125" s="1805"/>
      <c r="I125" s="1806"/>
      <c r="J125" s="1806"/>
      <c r="K125" s="1806"/>
      <c r="L125" s="1810"/>
      <c r="M125" s="1775"/>
      <c r="N125" s="2197"/>
      <c r="O125" s="2182"/>
    </row>
    <row r="126" spans="2:15" x14ac:dyDescent="0.25">
      <c r="B126" s="2181"/>
      <c r="H126" s="1800"/>
      <c r="I126" s="1799"/>
      <c r="J126" s="1799"/>
      <c r="K126" s="1799"/>
      <c r="L126" s="1809"/>
      <c r="O126" s="2182"/>
    </row>
    <row r="127" spans="2:15" x14ac:dyDescent="0.25">
      <c r="B127" s="2181"/>
      <c r="C127" s="1815" t="s">
        <v>1823</v>
      </c>
      <c r="D127" s="1754" t="s">
        <v>1785</v>
      </c>
      <c r="E127" s="1754"/>
      <c r="G127" s="1755"/>
      <c r="H127" s="1755"/>
      <c r="I127" s="1755"/>
      <c r="J127" s="1755"/>
      <c r="K127" s="1755"/>
      <c r="L127" s="1755"/>
      <c r="M127" s="1756"/>
      <c r="N127" s="2073">
        <f>IF(F131="15% - 0 Points",0,0)+IF(F131="14% - 1 point",1,0)+IF(F131="13% - 2 points",2,0)+IF(F131="12% - 3 points",3,0)+IF(F131="11% - 4 points",4,0)+IF(F131="10% - 5 Points",5,0)</f>
        <v>0</v>
      </c>
      <c r="O127" s="2182"/>
    </row>
    <row r="128" spans="2:15" ht="7.5" customHeight="1" x14ac:dyDescent="0.25">
      <c r="B128" s="2181"/>
      <c r="D128" s="1755"/>
      <c r="E128" s="1755"/>
      <c r="F128" s="1754"/>
      <c r="G128" s="1755"/>
      <c r="H128" s="1755"/>
      <c r="I128" s="1755"/>
      <c r="J128" s="1755"/>
      <c r="K128" s="1755"/>
      <c r="L128" s="1755"/>
      <c r="M128" s="1779"/>
      <c r="N128" s="1757"/>
      <c r="O128" s="2182"/>
    </row>
    <row r="129" spans="1:15" x14ac:dyDescent="0.25">
      <c r="B129" s="2181"/>
      <c r="D129" s="1754" t="s">
        <v>1181</v>
      </c>
      <c r="E129" s="1754"/>
      <c r="F129" s="1754"/>
      <c r="G129" s="1754"/>
      <c r="H129" s="1754"/>
      <c r="I129" s="1754"/>
      <c r="J129" s="1754"/>
      <c r="K129" s="1754"/>
      <c r="L129" s="1754"/>
      <c r="M129" s="1754"/>
      <c r="N129" s="1754"/>
      <c r="O129" s="2182"/>
    </row>
    <row r="130" spans="1:15" ht="14.25" customHeight="1" x14ac:dyDescent="0.25">
      <c r="B130" s="2181"/>
      <c r="E130" s="2116"/>
      <c r="F130" s="2116"/>
      <c r="G130" s="2116"/>
      <c r="H130" s="2116"/>
      <c r="I130" s="2116"/>
      <c r="J130" s="2116"/>
      <c r="K130" s="2116"/>
      <c r="L130" s="2116"/>
      <c r="M130" s="2116"/>
      <c r="N130" s="2116"/>
      <c r="O130" s="2183"/>
    </row>
    <row r="131" spans="1:15" ht="18" customHeight="1" x14ac:dyDescent="0.25">
      <c r="B131" s="2181"/>
      <c r="F131" s="2764"/>
      <c r="G131" s="2765"/>
      <c r="H131" s="1754"/>
      <c r="I131" s="1754"/>
      <c r="J131" s="1754"/>
      <c r="K131" s="1754"/>
      <c r="L131" s="1754"/>
      <c r="M131" s="1754"/>
      <c r="N131" s="1754"/>
      <c r="O131" s="2182"/>
    </row>
    <row r="132" spans="1:15" ht="15" customHeight="1" thickBot="1" x14ac:dyDescent="0.3">
      <c r="B132" s="2181"/>
      <c r="D132" s="1775"/>
      <c r="E132" s="1775"/>
      <c r="F132" s="1777"/>
      <c r="G132" s="1777"/>
      <c r="H132" s="1777"/>
      <c r="I132" s="1777"/>
      <c r="J132" s="1777"/>
      <c r="K132" s="1777"/>
      <c r="L132" s="1777"/>
      <c r="M132" s="1777"/>
      <c r="N132" s="1777"/>
      <c r="O132" s="2182"/>
    </row>
    <row r="133" spans="1:15" ht="15" customHeight="1" x14ac:dyDescent="0.25">
      <c r="B133" s="2181"/>
      <c r="F133" s="1754"/>
      <c r="G133" s="1754"/>
      <c r="H133" s="1754"/>
      <c r="I133" s="1754"/>
      <c r="J133" s="1754"/>
      <c r="K133" s="1754"/>
      <c r="L133" s="1754"/>
      <c r="M133" s="1754"/>
      <c r="N133" s="1754"/>
      <c r="O133" s="2182"/>
    </row>
    <row r="134" spans="1:15" x14ac:dyDescent="0.25">
      <c r="B134" s="2181"/>
      <c r="C134" s="1753" t="s">
        <v>1481</v>
      </c>
      <c r="D134" s="1754" t="s">
        <v>1786</v>
      </c>
      <c r="E134" s="1754"/>
      <c r="G134" s="1755"/>
      <c r="H134" s="1755"/>
      <c r="I134" s="1755"/>
      <c r="J134" s="1755"/>
      <c r="K134" s="1755"/>
      <c r="L134" s="1755"/>
      <c r="M134" s="1756"/>
      <c r="N134" s="2076">
        <v>0</v>
      </c>
      <c r="O134" s="2182"/>
    </row>
    <row r="135" spans="1:15" ht="7.5" customHeight="1" x14ac:dyDescent="0.25">
      <c r="B135" s="2181"/>
      <c r="D135" s="1755"/>
      <c r="E135" s="1755"/>
      <c r="G135" s="1755"/>
      <c r="H135" s="1755"/>
      <c r="I135" s="1755"/>
      <c r="J135" s="1755"/>
      <c r="K135" s="1755"/>
      <c r="L135" s="1755"/>
      <c r="M135" s="1779"/>
      <c r="N135" s="1757"/>
      <c r="O135" s="2182"/>
    </row>
    <row r="136" spans="1:15" x14ac:dyDescent="0.25">
      <c r="B136" s="2181"/>
      <c r="D136" s="1754" t="s">
        <v>1392</v>
      </c>
      <c r="E136" s="1754"/>
      <c r="F136" s="1754"/>
      <c r="G136" s="1754"/>
      <c r="H136" s="1754"/>
      <c r="I136" s="1754"/>
      <c r="J136" s="1754"/>
      <c r="K136" s="1754"/>
      <c r="L136" s="1754"/>
      <c r="M136" s="1754"/>
      <c r="N136" s="1754"/>
      <c r="O136" s="2182"/>
    </row>
    <row r="137" spans="1:15" ht="18.75" customHeight="1" x14ac:dyDescent="0.25">
      <c r="B137" s="2181"/>
      <c r="O137" s="2182"/>
    </row>
    <row r="138" spans="1:15" ht="14.25" customHeight="1" x14ac:dyDescent="0.25">
      <c r="B138" s="2181"/>
      <c r="G138" s="1788" t="s">
        <v>1394</v>
      </c>
      <c r="I138" s="1788"/>
      <c r="J138" s="1788"/>
      <c r="K138" s="1788"/>
      <c r="L138" s="2077">
        <v>0</v>
      </c>
      <c r="M138" s="1750" t="s">
        <v>1163</v>
      </c>
      <c r="O138" s="2182"/>
    </row>
    <row r="139" spans="1:15" ht="14.25" customHeight="1" x14ac:dyDescent="0.25">
      <c r="B139" s="2181"/>
      <c r="G139" s="1788" t="s">
        <v>1395</v>
      </c>
      <c r="I139" s="1788"/>
      <c r="J139" s="1788"/>
      <c r="K139" s="1788"/>
      <c r="L139" s="2077">
        <v>0</v>
      </c>
      <c r="M139" s="1750" t="s">
        <v>1163</v>
      </c>
      <c r="O139" s="2182"/>
    </row>
    <row r="140" spans="1:15" ht="14.25" customHeight="1" x14ac:dyDescent="0.25">
      <c r="B140" s="2181"/>
      <c r="H140" s="1816" t="s">
        <v>1700</v>
      </c>
      <c r="L140" s="2089">
        <f>IFERROR((L139/L138),0)</f>
        <v>0</v>
      </c>
      <c r="N140" s="1750" t="s">
        <v>312</v>
      </c>
      <c r="O140" s="2182"/>
    </row>
    <row r="141" spans="1:15" x14ac:dyDescent="0.25">
      <c r="B141" s="2181"/>
      <c r="D141" s="1754"/>
      <c r="E141" s="1754"/>
      <c r="F141" s="1788"/>
      <c r="G141" s="1791" t="s">
        <v>1393</v>
      </c>
      <c r="I141" s="1791"/>
      <c r="J141" s="1791"/>
      <c r="K141" s="1791"/>
      <c r="L141" s="2077">
        <v>0</v>
      </c>
      <c r="M141" s="1788" t="s">
        <v>1163</v>
      </c>
      <c r="O141" s="2182"/>
    </row>
    <row r="142" spans="1:15" s="1809" customFormat="1" x14ac:dyDescent="0.25">
      <c r="B142" s="2187"/>
      <c r="D142" s="1754"/>
      <c r="E142" s="1754"/>
      <c r="F142" s="1788"/>
      <c r="G142" s="1791" t="s">
        <v>1483</v>
      </c>
      <c r="H142" s="1752"/>
      <c r="I142" s="1791"/>
      <c r="J142" s="1791"/>
      <c r="K142" s="1788"/>
      <c r="L142" s="2083">
        <f>'1'!F57</f>
        <v>0</v>
      </c>
      <c r="M142" s="2084" t="s">
        <v>1809</v>
      </c>
      <c r="O142" s="2186"/>
    </row>
    <row r="143" spans="1:15" s="1809" customFormat="1" x14ac:dyDescent="0.25">
      <c r="A143" s="1788"/>
      <c r="B143" s="2188"/>
      <c r="C143" s="1788"/>
      <c r="D143" s="1788"/>
      <c r="E143" s="1788"/>
      <c r="F143" s="1788"/>
      <c r="G143" s="1788" t="s">
        <v>1484</v>
      </c>
      <c r="H143" s="1788"/>
      <c r="I143" s="1788"/>
      <c r="J143" s="1788"/>
      <c r="K143" s="1788"/>
      <c r="L143" s="2082">
        <f>IFERROR(L141/L138,0)</f>
        <v>0</v>
      </c>
      <c r="M143" s="1788"/>
      <c r="N143" s="1788"/>
      <c r="O143" s="2186"/>
    </row>
    <row r="144" spans="1:15" x14ac:dyDescent="0.25">
      <c r="A144" s="1788"/>
      <c r="B144" s="2188"/>
      <c r="C144" s="1788"/>
      <c r="D144" s="1788"/>
      <c r="E144" s="1788"/>
      <c r="F144" s="1788"/>
      <c r="G144" s="1788"/>
      <c r="H144" s="1788"/>
      <c r="I144" s="1788"/>
      <c r="J144" s="1788"/>
      <c r="K144" s="1788"/>
      <c r="L144" s="1788"/>
      <c r="M144" s="1788"/>
      <c r="N144" s="1788"/>
      <c r="O144" s="2186"/>
    </row>
    <row r="145" spans="1:15" ht="15.75" thickBot="1" x14ac:dyDescent="0.3">
      <c r="B145" s="2181"/>
      <c r="D145" s="1777"/>
      <c r="E145" s="1777"/>
      <c r="F145" s="1782"/>
      <c r="G145" s="1782"/>
      <c r="H145" s="1775"/>
      <c r="I145" s="1782"/>
      <c r="J145" s="1782"/>
      <c r="K145" s="1782"/>
      <c r="L145" s="1782"/>
      <c r="M145" s="1817"/>
      <c r="N145" s="1782"/>
      <c r="O145" s="2182"/>
    </row>
    <row r="146" spans="1:15" x14ac:dyDescent="0.25">
      <c r="B146" s="2181"/>
      <c r="D146" s="1754"/>
      <c r="E146" s="1754"/>
      <c r="F146" s="1788"/>
      <c r="G146" s="1788"/>
      <c r="I146" s="1788"/>
      <c r="J146" s="1788"/>
      <c r="K146" s="1788"/>
      <c r="L146" s="1788"/>
      <c r="M146" s="1794"/>
      <c r="N146" s="1788"/>
      <c r="O146" s="2182"/>
    </row>
    <row r="147" spans="1:15" x14ac:dyDescent="0.25">
      <c r="B147" s="2181"/>
      <c r="C147" s="1753" t="s">
        <v>1482</v>
      </c>
      <c r="D147" s="1754" t="s">
        <v>1787</v>
      </c>
      <c r="E147" s="1754"/>
      <c r="G147" s="1755"/>
      <c r="H147" s="1755"/>
      <c r="I147" s="1755"/>
      <c r="J147" s="1755"/>
      <c r="K147" s="1755"/>
      <c r="L147" s="1755"/>
      <c r="M147" s="1756"/>
      <c r="N147" s="2076">
        <v>0</v>
      </c>
      <c r="O147" s="2182"/>
    </row>
    <row r="148" spans="1:15" ht="7.5" customHeight="1" x14ac:dyDescent="0.25">
      <c r="B148" s="2181"/>
      <c r="O148" s="2182"/>
    </row>
    <row r="149" spans="1:15" s="1809" customFormat="1" ht="27.75" customHeight="1" x14ac:dyDescent="0.25">
      <c r="A149" s="1750"/>
      <c r="B149" s="2181"/>
      <c r="C149" s="2116"/>
      <c r="D149" s="2759" t="s">
        <v>1486</v>
      </c>
      <c r="E149" s="2759"/>
      <c r="F149" s="2759"/>
      <c r="G149" s="2759"/>
      <c r="H149" s="2759"/>
      <c r="I149" s="2759"/>
      <c r="J149" s="2759"/>
      <c r="K149" s="2759"/>
      <c r="L149" s="2759"/>
      <c r="M149" s="2759"/>
      <c r="N149" s="2759"/>
      <c r="O149" s="2186"/>
    </row>
    <row r="150" spans="1:15" s="1809" customFormat="1" ht="12" customHeight="1" x14ac:dyDescent="0.25">
      <c r="A150" s="1750"/>
      <c r="B150" s="2181"/>
      <c r="C150" s="2116"/>
      <c r="D150" s="2116"/>
      <c r="E150" s="2116"/>
      <c r="F150" s="2116"/>
      <c r="G150" s="2116"/>
      <c r="H150" s="2116"/>
      <c r="I150" s="2116"/>
      <c r="J150" s="2116"/>
      <c r="K150" s="2116"/>
      <c r="L150" s="2116"/>
      <c r="M150" s="2116"/>
      <c r="N150" s="2116"/>
      <c r="O150" s="2186"/>
    </row>
    <row r="151" spans="1:15" ht="15.75" thickBot="1" x14ac:dyDescent="0.3">
      <c r="B151" s="2181"/>
      <c r="D151" s="1777"/>
      <c r="E151" s="1777"/>
      <c r="F151" s="1777"/>
      <c r="G151" s="1777"/>
      <c r="H151" s="1777"/>
      <c r="I151" s="1777"/>
      <c r="J151" s="1777"/>
      <c r="K151" s="1777"/>
      <c r="L151" s="1777"/>
      <c r="M151" s="1777"/>
      <c r="N151" s="1777"/>
      <c r="O151" s="2182"/>
    </row>
    <row r="152" spans="1:15" x14ac:dyDescent="0.25">
      <c r="B152" s="2181"/>
      <c r="D152" s="1754"/>
      <c r="E152" s="1754"/>
      <c r="F152" s="1754"/>
      <c r="G152" s="1754"/>
      <c r="H152" s="1754"/>
      <c r="I152" s="1754"/>
      <c r="J152" s="1754"/>
      <c r="K152" s="1754"/>
      <c r="L152" s="1754"/>
      <c r="M152" s="1754"/>
      <c r="N152" s="1754"/>
      <c r="O152" s="2182"/>
    </row>
    <row r="153" spans="1:15" x14ac:dyDescent="0.25">
      <c r="B153" s="2181"/>
      <c r="C153" s="1753" t="s">
        <v>1485</v>
      </c>
      <c r="D153" s="1754" t="s">
        <v>1788</v>
      </c>
      <c r="E153" s="1754"/>
      <c r="G153" s="1755"/>
      <c r="H153" s="1755"/>
      <c r="I153" s="1755"/>
      <c r="J153" s="1755"/>
      <c r="K153" s="1755"/>
      <c r="L153" s="1755"/>
      <c r="M153" s="1756"/>
      <c r="N153" s="2076">
        <v>0</v>
      </c>
      <c r="O153" s="2182"/>
    </row>
    <row r="154" spans="1:15" ht="7.5" customHeight="1" x14ac:dyDescent="0.25">
      <c r="B154" s="2181"/>
      <c r="O154" s="2182"/>
    </row>
    <row r="155" spans="1:15" s="1809" customFormat="1" ht="27.75" customHeight="1" x14ac:dyDescent="0.25">
      <c r="A155" s="1750"/>
      <c r="B155" s="2181"/>
      <c r="C155" s="2116"/>
      <c r="D155" s="2759" t="s">
        <v>1701</v>
      </c>
      <c r="E155" s="2759"/>
      <c r="F155" s="2759"/>
      <c r="G155" s="2759"/>
      <c r="H155" s="2759"/>
      <c r="I155" s="2759"/>
      <c r="J155" s="2759"/>
      <c r="K155" s="2759"/>
      <c r="L155" s="2759"/>
      <c r="M155" s="2759"/>
      <c r="N155" s="2759"/>
      <c r="O155" s="2186"/>
    </row>
    <row r="156" spans="1:15" s="1809" customFormat="1" ht="12" customHeight="1" x14ac:dyDescent="0.25">
      <c r="A156" s="1750"/>
      <c r="B156" s="2181"/>
      <c r="C156" s="2116"/>
      <c r="D156" s="2116"/>
      <c r="E156" s="2116"/>
      <c r="F156" s="2116"/>
      <c r="G156" s="2116"/>
      <c r="H156" s="2116"/>
      <c r="I156" s="2116"/>
      <c r="J156" s="2116"/>
      <c r="K156" s="2116"/>
      <c r="L156" s="2116"/>
      <c r="M156" s="2116"/>
      <c r="N156" s="2116"/>
      <c r="O156" s="2186"/>
    </row>
    <row r="157" spans="1:15" s="1809" customFormat="1" ht="94.5" customHeight="1" x14ac:dyDescent="0.25">
      <c r="A157" s="1750"/>
      <c r="B157" s="2181"/>
      <c r="C157" s="2116"/>
      <c r="D157" s="2116"/>
      <c r="E157" s="2116"/>
      <c r="F157" s="740"/>
      <c r="G157" s="740"/>
      <c r="H157" s="740"/>
      <c r="I157" s="740"/>
      <c r="J157" s="740"/>
      <c r="K157" s="740"/>
      <c r="L157" s="740"/>
      <c r="M157" s="740"/>
      <c r="N157" s="2116"/>
      <c r="O157" s="2186"/>
    </row>
    <row r="158" spans="1:15" s="1809" customFormat="1" ht="12" customHeight="1" x14ac:dyDescent="0.25">
      <c r="A158" s="1750"/>
      <c r="B158" s="2181"/>
      <c r="C158" s="2116"/>
      <c r="D158" s="2116"/>
      <c r="E158" s="2116"/>
      <c r="F158" s="2116"/>
      <c r="G158" s="2116"/>
      <c r="H158" s="2116"/>
      <c r="I158" s="2116"/>
      <c r="J158" s="2116"/>
      <c r="K158" s="2116"/>
      <c r="L158" s="2116"/>
      <c r="M158" s="2116"/>
      <c r="N158" s="2116"/>
      <c r="O158" s="2186"/>
    </row>
    <row r="159" spans="1:15" ht="15.75" thickBot="1" x14ac:dyDescent="0.3">
      <c r="B159" s="2181"/>
      <c r="D159" s="1777"/>
      <c r="E159" s="1777"/>
      <c r="F159" s="1777"/>
      <c r="G159" s="1777"/>
      <c r="H159" s="1777"/>
      <c r="I159" s="1777"/>
      <c r="J159" s="1777"/>
      <c r="K159" s="1777"/>
      <c r="L159" s="1777"/>
      <c r="M159" s="1777"/>
      <c r="N159" s="1777"/>
      <c r="O159" s="2182"/>
    </row>
    <row r="160" spans="1:15" x14ac:dyDescent="0.25">
      <c r="B160" s="2181"/>
      <c r="D160" s="1754"/>
      <c r="E160" s="1754"/>
      <c r="F160" s="1754"/>
      <c r="G160" s="1754"/>
      <c r="H160" s="1754"/>
      <c r="I160" s="1754"/>
      <c r="J160" s="1754"/>
      <c r="K160" s="1754"/>
      <c r="L160" s="1754"/>
      <c r="M160" s="1754"/>
      <c r="N160" s="1754"/>
      <c r="O160" s="2182"/>
    </row>
    <row r="161" spans="1:15" x14ac:dyDescent="0.25">
      <c r="B161" s="2181"/>
      <c r="C161" s="1753" t="s">
        <v>1487</v>
      </c>
      <c r="D161" s="1754" t="s">
        <v>1789</v>
      </c>
      <c r="E161" s="1754"/>
      <c r="G161" s="1755"/>
      <c r="H161" s="1755"/>
      <c r="I161" s="1755"/>
      <c r="J161" s="1755"/>
      <c r="K161" s="1755"/>
      <c r="L161" s="1755"/>
      <c r="M161" s="1756"/>
      <c r="N161" s="2073">
        <f>IF(F165="Option 1: Grayfield Site - 3 points",3)+IF(F165="Option 2: Adaptive Reuse Site - 3 points",3)+IF(F165="Option 3: Historic Property being financed by the federal Historic Tax Credit (RTC) - 3 points",3)+IF(F165="Option 4: Brownfield site - 6 points",6)</f>
        <v>0</v>
      </c>
      <c r="O161" s="2182"/>
    </row>
    <row r="162" spans="1:15" ht="7.5" customHeight="1" x14ac:dyDescent="0.25">
      <c r="B162" s="2181"/>
      <c r="O162" s="2182"/>
    </row>
    <row r="163" spans="1:15" s="1809" customFormat="1" ht="27.75" customHeight="1" x14ac:dyDescent="0.25">
      <c r="A163" s="1750"/>
      <c r="B163" s="2181"/>
      <c r="C163" s="2116"/>
      <c r="D163" s="2759" t="s">
        <v>1489</v>
      </c>
      <c r="E163" s="2759"/>
      <c r="F163" s="2759"/>
      <c r="G163" s="2759"/>
      <c r="H163" s="2759"/>
      <c r="I163" s="2759"/>
      <c r="J163" s="2759"/>
      <c r="K163" s="2759"/>
      <c r="L163" s="2759"/>
      <c r="M163" s="2759"/>
      <c r="N163" s="2759"/>
      <c r="O163" s="2186"/>
    </row>
    <row r="164" spans="1:15" s="1809" customFormat="1" ht="12" customHeight="1" x14ac:dyDescent="0.25">
      <c r="A164" s="1750"/>
      <c r="B164" s="2181"/>
      <c r="C164" s="2116"/>
      <c r="D164" s="2116"/>
      <c r="F164" s="2116"/>
      <c r="G164" s="2116"/>
      <c r="H164" s="2116"/>
      <c r="I164" s="2116"/>
      <c r="J164" s="2116"/>
      <c r="K164" s="2116"/>
      <c r="L164" s="2116"/>
      <c r="M164" s="2116"/>
      <c r="N164" s="2116"/>
      <c r="O164" s="2186"/>
    </row>
    <row r="165" spans="1:15" s="1809" customFormat="1" ht="12" customHeight="1" x14ac:dyDescent="0.25">
      <c r="A165" s="1750"/>
      <c r="B165" s="2181"/>
      <c r="C165" s="2116"/>
      <c r="D165" s="2116"/>
      <c r="E165" s="1756"/>
      <c r="F165" s="2766" t="s">
        <v>1160</v>
      </c>
      <c r="G165" s="2767"/>
      <c r="H165" s="2767"/>
      <c r="I165" s="2767"/>
      <c r="J165" s="2767"/>
      <c r="K165" s="2767"/>
      <c r="L165" s="2767"/>
      <c r="M165" s="2768"/>
      <c r="N165" s="2116"/>
      <c r="O165" s="2186"/>
    </row>
    <row r="166" spans="1:15" s="1809" customFormat="1" ht="12" customHeight="1" x14ac:dyDescent="0.25">
      <c r="A166" s="1750"/>
      <c r="B166" s="2181"/>
      <c r="C166" s="2116"/>
      <c r="D166" s="2116"/>
      <c r="E166" s="2116"/>
      <c r="F166" s="2116"/>
      <c r="G166" s="2116"/>
      <c r="H166" s="2116"/>
      <c r="I166" s="2116"/>
      <c r="J166" s="2116"/>
      <c r="K166" s="2116"/>
      <c r="L166" s="2116"/>
      <c r="M166" s="2116"/>
      <c r="N166" s="2116"/>
      <c r="O166" s="2186"/>
    </row>
    <row r="167" spans="1:15" s="1809" customFormat="1" ht="12" customHeight="1" thickBot="1" x14ac:dyDescent="0.3">
      <c r="A167" s="1750"/>
      <c r="B167" s="2181"/>
      <c r="C167" s="2116"/>
      <c r="D167" s="1818"/>
      <c r="E167" s="1818"/>
      <c r="F167" s="1818"/>
      <c r="G167" s="1818"/>
      <c r="H167" s="1818"/>
      <c r="I167" s="1818"/>
      <c r="J167" s="1818"/>
      <c r="K167" s="1818"/>
      <c r="L167" s="1818"/>
      <c r="M167" s="1818"/>
      <c r="N167" s="1818"/>
      <c r="O167" s="2186"/>
    </row>
    <row r="168" spans="1:15" s="1809" customFormat="1" ht="12" customHeight="1" x14ac:dyDescent="0.25">
      <c r="A168" s="1750"/>
      <c r="B168" s="2181"/>
      <c r="C168" s="2116"/>
      <c r="D168" s="2116"/>
      <c r="E168" s="2116"/>
      <c r="F168" s="2116"/>
      <c r="G168" s="2116"/>
      <c r="H168" s="2116"/>
      <c r="I168" s="2116"/>
      <c r="J168" s="2116"/>
      <c r="K168" s="2116"/>
      <c r="L168" s="2116"/>
      <c r="M168" s="2116"/>
      <c r="N168" s="2116"/>
      <c r="O168" s="2186"/>
    </row>
    <row r="169" spans="1:15" x14ac:dyDescent="0.25">
      <c r="A169" s="1753"/>
      <c r="B169" s="2189"/>
      <c r="C169" s="1753" t="s">
        <v>1488</v>
      </c>
      <c r="D169" s="1819" t="s">
        <v>1790</v>
      </c>
      <c r="F169" s="1755"/>
      <c r="G169" s="1755"/>
      <c r="H169" s="1755"/>
      <c r="I169" s="1755"/>
      <c r="J169" s="1755"/>
      <c r="K169" s="1755"/>
      <c r="L169" s="1814"/>
      <c r="M169" s="1756"/>
      <c r="N169" s="2073">
        <f>IF(F173="Urban:  within 1/4 mile of 3 services and 1/2 mile of a grocery store or within 1/2 mile of 5 facilities and a grocery store - 3 points",3,IF(F173="Rural:  within 2 miles of 4 services, one of which is a grocery store - 3 points",3,0))</f>
        <v>0</v>
      </c>
      <c r="O169" s="2182"/>
    </row>
    <row r="170" spans="1:15" ht="14.25" customHeight="1" x14ac:dyDescent="0.25">
      <c r="B170" s="2181"/>
      <c r="N170" s="2116"/>
      <c r="O170" s="2182"/>
    </row>
    <row r="171" spans="1:15" ht="24.75" customHeight="1" x14ac:dyDescent="0.25">
      <c r="B171" s="2181"/>
      <c r="C171" s="2116"/>
      <c r="D171" s="2759" t="s">
        <v>1396</v>
      </c>
      <c r="E171" s="2758"/>
      <c r="F171" s="2758"/>
      <c r="G171" s="2758"/>
      <c r="H171" s="2758"/>
      <c r="I171" s="2758"/>
      <c r="J171" s="2758"/>
      <c r="K171" s="2758"/>
      <c r="L171" s="2758"/>
      <c r="M171" s="2116"/>
      <c r="O171" s="2182"/>
    </row>
    <row r="172" spans="1:15" x14ac:dyDescent="0.25">
      <c r="B172" s="2181"/>
      <c r="C172" s="1754"/>
      <c r="O172" s="2182"/>
    </row>
    <row r="173" spans="1:15" x14ac:dyDescent="0.25">
      <c r="B173" s="2181"/>
      <c r="E173" s="1756"/>
      <c r="F173" s="2754" t="s">
        <v>1160</v>
      </c>
      <c r="G173" s="2755"/>
      <c r="H173" s="2755"/>
      <c r="I173" s="2755"/>
      <c r="J173" s="2755"/>
      <c r="K173" s="2755"/>
      <c r="L173" s="2755"/>
      <c r="M173" s="2756"/>
      <c r="N173" s="1788"/>
      <c r="O173" s="2182"/>
    </row>
    <row r="174" spans="1:15" x14ac:dyDescent="0.25">
      <c r="B174" s="2181"/>
      <c r="N174" s="1788"/>
      <c r="O174" s="2182"/>
    </row>
    <row r="175" spans="1:15" ht="15.75" thickBot="1" x14ac:dyDescent="0.3">
      <c r="B175" s="2181"/>
      <c r="D175" s="1775"/>
      <c r="E175" s="1775"/>
      <c r="F175" s="1775"/>
      <c r="G175" s="1775"/>
      <c r="H175" s="1775"/>
      <c r="I175" s="1775"/>
      <c r="J175" s="1775"/>
      <c r="K175" s="1775"/>
      <c r="L175" s="1817"/>
      <c r="M175" s="1782"/>
      <c r="N175" s="1788"/>
      <c r="O175" s="2182"/>
    </row>
    <row r="176" spans="1:15" x14ac:dyDescent="0.25">
      <c r="B176" s="2181"/>
      <c r="L176" s="1794"/>
      <c r="M176" s="1788"/>
      <c r="N176" s="1788"/>
      <c r="O176" s="2182"/>
    </row>
    <row r="177" spans="2:15" x14ac:dyDescent="0.25">
      <c r="B177" s="2181"/>
      <c r="C177" s="1753" t="s">
        <v>1490</v>
      </c>
      <c r="D177" s="1754" t="s">
        <v>1791</v>
      </c>
      <c r="E177" s="1754"/>
      <c r="F177" s="1754"/>
      <c r="G177" s="1754"/>
      <c r="H177" s="1754"/>
      <c r="I177" s="1754"/>
      <c r="J177" s="1754"/>
      <c r="K177" s="1754"/>
      <c r="L177" s="1754"/>
      <c r="M177" s="1756"/>
      <c r="N177" s="2076">
        <v>0</v>
      </c>
      <c r="O177" s="2182"/>
    </row>
    <row r="178" spans="2:15" ht="9.75" customHeight="1" x14ac:dyDescent="0.25">
      <c r="B178" s="2181"/>
      <c r="O178" s="2182"/>
    </row>
    <row r="179" spans="2:15" ht="29.25" customHeight="1" x14ac:dyDescent="0.25">
      <c r="B179" s="2181"/>
      <c r="D179" s="2759" t="s">
        <v>1492</v>
      </c>
      <c r="E179" s="2758"/>
      <c r="F179" s="2758"/>
      <c r="G179" s="2758"/>
      <c r="H179" s="2758"/>
      <c r="I179" s="2758"/>
      <c r="J179" s="2758"/>
      <c r="K179" s="2758"/>
      <c r="L179" s="2758"/>
      <c r="M179" s="2116"/>
      <c r="N179" s="1757"/>
      <c r="O179" s="2182"/>
    </row>
    <row r="180" spans="2:15" ht="12" customHeight="1" thickBot="1" x14ac:dyDescent="0.3">
      <c r="B180" s="2181"/>
      <c r="D180" s="1777"/>
      <c r="E180" s="1775"/>
      <c r="F180" s="1775"/>
      <c r="G180" s="1775"/>
      <c r="H180" s="1775"/>
      <c r="I180" s="1775"/>
      <c r="J180" s="1775"/>
      <c r="K180" s="1775"/>
      <c r="L180" s="1775"/>
      <c r="M180" s="1775"/>
      <c r="N180" s="2116"/>
      <c r="O180" s="2182"/>
    </row>
    <row r="181" spans="2:15" x14ac:dyDescent="0.25">
      <c r="B181" s="2181"/>
      <c r="M181" s="1794"/>
      <c r="N181" s="1757"/>
      <c r="O181" s="2182"/>
    </row>
    <row r="182" spans="2:15" x14ac:dyDescent="0.25">
      <c r="B182" s="2181"/>
      <c r="C182" s="1753" t="s">
        <v>1491</v>
      </c>
      <c r="D182" s="1754" t="s">
        <v>1792</v>
      </c>
      <c r="E182" s="1754"/>
      <c r="G182" s="1755"/>
      <c r="H182" s="1755"/>
      <c r="M182" s="1756"/>
      <c r="N182" s="2076">
        <v>0</v>
      </c>
      <c r="O182" s="2182"/>
    </row>
    <row r="183" spans="2:15" ht="7.5" customHeight="1" x14ac:dyDescent="0.25">
      <c r="B183" s="2181"/>
      <c r="C183" s="1753"/>
      <c r="D183" s="1754"/>
      <c r="E183" s="1754"/>
      <c r="G183" s="1755"/>
      <c r="H183" s="1755"/>
      <c r="I183" s="1755"/>
      <c r="J183" s="1755"/>
      <c r="K183" s="1755"/>
      <c r="L183" s="1755"/>
      <c r="M183" s="1814"/>
      <c r="N183" s="1757"/>
      <c r="O183" s="2182"/>
    </row>
    <row r="184" spans="2:15" ht="27" customHeight="1" x14ac:dyDescent="0.25">
      <c r="B184" s="2181"/>
      <c r="D184" s="2759" t="s">
        <v>1494</v>
      </c>
      <c r="E184" s="2758"/>
      <c r="F184" s="2758"/>
      <c r="G184" s="2758"/>
      <c r="H184" s="2758"/>
      <c r="I184" s="2758"/>
      <c r="J184" s="2758"/>
      <c r="K184" s="2758"/>
      <c r="L184" s="2758"/>
      <c r="M184" s="1779"/>
      <c r="N184" s="2116"/>
      <c r="O184" s="2182"/>
    </row>
    <row r="185" spans="2:15" ht="8.25" customHeight="1" x14ac:dyDescent="0.25">
      <c r="B185" s="2181"/>
      <c r="D185" s="2116"/>
      <c r="E185" s="2116"/>
      <c r="F185" s="2116"/>
      <c r="G185" s="2116"/>
      <c r="H185" s="2116"/>
      <c r="I185" s="2116"/>
      <c r="J185" s="2116"/>
      <c r="K185" s="2116"/>
      <c r="L185" s="2116"/>
      <c r="M185" s="2116"/>
      <c r="N185" s="2116"/>
      <c r="O185" s="2182"/>
    </row>
    <row r="186" spans="2:15" ht="9.75" customHeight="1" thickBot="1" x14ac:dyDescent="0.3">
      <c r="B186" s="2181"/>
      <c r="D186" s="1818"/>
      <c r="E186" s="1818"/>
      <c r="F186" s="1818"/>
      <c r="G186" s="1818"/>
      <c r="H186" s="1818"/>
      <c r="I186" s="1818"/>
      <c r="J186" s="1818"/>
      <c r="K186" s="1818"/>
      <c r="L186" s="1818"/>
      <c r="M186" s="1818"/>
      <c r="N186" s="1757"/>
      <c r="O186" s="2182"/>
    </row>
    <row r="187" spans="2:15" ht="9.75" customHeight="1" x14ac:dyDescent="0.25">
      <c r="B187" s="2181"/>
      <c r="D187" s="2116"/>
      <c r="E187" s="2116"/>
      <c r="F187" s="2116"/>
      <c r="G187" s="2116"/>
      <c r="H187" s="2116"/>
      <c r="I187" s="2116"/>
      <c r="J187" s="2116"/>
      <c r="K187" s="2116"/>
      <c r="L187" s="2116"/>
      <c r="M187" s="2116"/>
      <c r="N187" s="1757"/>
      <c r="O187" s="2182"/>
    </row>
    <row r="188" spans="2:15" ht="15.75" customHeight="1" x14ac:dyDescent="0.25">
      <c r="B188" s="2181"/>
      <c r="C188" s="1753" t="s">
        <v>1493</v>
      </c>
      <c r="D188" s="1754" t="s">
        <v>1793</v>
      </c>
      <c r="E188" s="1754"/>
      <c r="G188" s="1755"/>
      <c r="H188" s="1755"/>
      <c r="I188" s="1755"/>
      <c r="J188" s="1755"/>
      <c r="K188" s="1755"/>
      <c r="L188" s="1755"/>
      <c r="M188" s="1756"/>
      <c r="N188" s="2076">
        <v>0</v>
      </c>
      <c r="O188" s="2182"/>
    </row>
    <row r="189" spans="2:15" ht="10.5" customHeight="1" x14ac:dyDescent="0.25">
      <c r="B189" s="2181"/>
      <c r="C189" s="1753"/>
      <c r="D189" s="1754"/>
      <c r="E189" s="1754"/>
      <c r="G189" s="1755"/>
      <c r="H189" s="1755"/>
      <c r="I189" s="1755"/>
      <c r="J189" s="1755"/>
      <c r="K189" s="1755"/>
      <c r="L189" s="1755"/>
      <c r="M189" s="1814"/>
      <c r="N189" s="2116"/>
      <c r="O189" s="2182"/>
    </row>
    <row r="190" spans="2:15" ht="27" customHeight="1" x14ac:dyDescent="0.25">
      <c r="B190" s="2181"/>
      <c r="C190" s="1753"/>
      <c r="D190" s="2759" t="s">
        <v>1496</v>
      </c>
      <c r="E190" s="2758"/>
      <c r="F190" s="2758"/>
      <c r="G190" s="2758"/>
      <c r="H190" s="2758"/>
      <c r="I190" s="2758"/>
      <c r="J190" s="2758"/>
      <c r="K190" s="2758"/>
      <c r="L190" s="2758"/>
      <c r="M190" s="1814"/>
      <c r="N190" s="2116"/>
      <c r="O190" s="2182"/>
    </row>
    <row r="191" spans="2:15" ht="8.25" customHeight="1" thickBot="1" x14ac:dyDescent="0.3">
      <c r="B191" s="2181"/>
      <c r="C191" s="1753"/>
      <c r="D191" s="1777"/>
      <c r="E191" s="1777"/>
      <c r="F191" s="1775"/>
      <c r="G191" s="1820"/>
      <c r="H191" s="1820"/>
      <c r="I191" s="1820"/>
      <c r="J191" s="1820"/>
      <c r="K191" s="1820"/>
      <c r="L191" s="1820"/>
      <c r="M191" s="1821"/>
      <c r="N191" s="2116"/>
      <c r="O191" s="2182"/>
    </row>
    <row r="192" spans="2:15" ht="9.75" customHeight="1" x14ac:dyDescent="0.25">
      <c r="B192" s="2181"/>
      <c r="D192" s="2116"/>
      <c r="E192" s="2116"/>
      <c r="F192" s="2116"/>
      <c r="G192" s="2116"/>
      <c r="H192" s="2116"/>
      <c r="I192" s="2116"/>
      <c r="J192" s="2116"/>
      <c r="K192" s="2116"/>
      <c r="L192" s="2116"/>
      <c r="M192" s="2116"/>
      <c r="N192" s="1757"/>
      <c r="O192" s="2182"/>
    </row>
    <row r="193" spans="2:15" ht="15.75" customHeight="1" x14ac:dyDescent="0.25">
      <c r="B193" s="2181"/>
      <c r="C193" s="1753" t="s">
        <v>1495</v>
      </c>
      <c r="D193" s="1754" t="s">
        <v>1794</v>
      </c>
      <c r="E193" s="1754"/>
      <c r="G193" s="1755"/>
      <c r="H193" s="1755"/>
      <c r="I193" s="1755"/>
      <c r="J193" s="1755"/>
      <c r="K193" s="1755"/>
      <c r="L193" s="1755"/>
      <c r="M193" s="1756"/>
      <c r="N193" s="2076">
        <v>0</v>
      </c>
      <c r="O193" s="2182"/>
    </row>
    <row r="194" spans="2:15" ht="10.5" customHeight="1" x14ac:dyDescent="0.25">
      <c r="B194" s="2181"/>
      <c r="C194" s="1753"/>
      <c r="D194" s="1754"/>
      <c r="E194" s="1754"/>
      <c r="G194" s="1755"/>
      <c r="H194" s="1755"/>
      <c r="I194" s="1755"/>
      <c r="J194" s="1755"/>
      <c r="K194" s="1755"/>
      <c r="L194" s="1755"/>
      <c r="M194" s="1814"/>
      <c r="N194" s="2116"/>
      <c r="O194" s="2182"/>
    </row>
    <row r="195" spans="2:15" ht="27" customHeight="1" x14ac:dyDescent="0.25">
      <c r="B195" s="2181"/>
      <c r="C195" s="1753"/>
      <c r="D195" s="2759" t="s">
        <v>1498</v>
      </c>
      <c r="E195" s="2758"/>
      <c r="F195" s="2758"/>
      <c r="G195" s="2758"/>
      <c r="H195" s="2758"/>
      <c r="I195" s="2758"/>
      <c r="J195" s="2758"/>
      <c r="K195" s="2758"/>
      <c r="L195" s="2758"/>
      <c r="M195" s="1814"/>
      <c r="N195" s="2116"/>
      <c r="O195" s="2182"/>
    </row>
    <row r="196" spans="2:15" ht="8.25" customHeight="1" thickBot="1" x14ac:dyDescent="0.3">
      <c r="B196" s="2181"/>
      <c r="C196" s="1753"/>
      <c r="D196" s="1777"/>
      <c r="E196" s="1777"/>
      <c r="F196" s="1775"/>
      <c r="G196" s="1820"/>
      <c r="H196" s="1820"/>
      <c r="I196" s="1820"/>
      <c r="J196" s="1820"/>
      <c r="K196" s="1820"/>
      <c r="L196" s="1820"/>
      <c r="M196" s="1821"/>
      <c r="N196" s="2116"/>
      <c r="O196" s="2182"/>
    </row>
    <row r="197" spans="2:15" x14ac:dyDescent="0.25">
      <c r="B197" s="2181"/>
      <c r="D197" s="1755"/>
      <c r="E197" s="1755"/>
      <c r="F197" s="1788"/>
      <c r="G197" s="1788"/>
      <c r="H197" s="1788"/>
      <c r="I197" s="1788"/>
      <c r="J197" s="1788"/>
      <c r="K197" s="1755"/>
      <c r="L197" s="1814"/>
      <c r="M197" s="1779"/>
      <c r="O197" s="2182"/>
    </row>
    <row r="198" spans="2:15" x14ac:dyDescent="0.25">
      <c r="B198" s="2181"/>
      <c r="C198" s="1753" t="s">
        <v>1497</v>
      </c>
      <c r="D198" s="1754" t="s">
        <v>1795</v>
      </c>
      <c r="E198" s="1754"/>
      <c r="G198" s="1755"/>
      <c r="H198" s="1755"/>
      <c r="I198" s="1755"/>
      <c r="J198" s="1755"/>
      <c r="K198" s="1755"/>
      <c r="L198" s="1755"/>
      <c r="M198" s="1756"/>
      <c r="N198" s="2073">
        <f>IF(F202="No Points Taken",0,3)</f>
        <v>0</v>
      </c>
      <c r="O198" s="2182"/>
    </row>
    <row r="199" spans="2:15" ht="5.25" customHeight="1" x14ac:dyDescent="0.25">
      <c r="B199" s="2181"/>
      <c r="D199" s="1755"/>
      <c r="E199" s="1755"/>
      <c r="F199" s="1754"/>
      <c r="G199" s="1755"/>
      <c r="H199" s="1755"/>
      <c r="I199" s="1755"/>
      <c r="J199" s="1755"/>
      <c r="K199" s="1755"/>
      <c r="L199" s="1755"/>
      <c r="M199" s="1779"/>
      <c r="N199" s="1779"/>
      <c r="O199" s="2182"/>
    </row>
    <row r="200" spans="2:15" ht="21" customHeight="1" x14ac:dyDescent="0.25">
      <c r="B200" s="2181"/>
      <c r="D200" s="1754" t="s">
        <v>1500</v>
      </c>
      <c r="E200" s="1754"/>
      <c r="F200" s="1754"/>
      <c r="G200" s="1754"/>
      <c r="H200" s="1754"/>
      <c r="I200" s="1754"/>
      <c r="J200" s="1754"/>
      <c r="K200" s="1754"/>
      <c r="L200" s="1754"/>
      <c r="M200" s="1754"/>
      <c r="N200" s="1757"/>
      <c r="O200" s="2182"/>
    </row>
    <row r="201" spans="2:15" ht="15" customHeight="1" x14ac:dyDescent="0.25">
      <c r="B201" s="2181"/>
      <c r="D201" s="2116"/>
      <c r="E201" s="2116"/>
      <c r="F201" s="2116"/>
      <c r="G201" s="2116"/>
      <c r="H201" s="2116"/>
      <c r="I201" s="2116"/>
      <c r="J201" s="2116"/>
      <c r="K201" s="2116"/>
      <c r="L201" s="2116"/>
      <c r="M201" s="2116"/>
      <c r="N201" s="2116"/>
      <c r="O201" s="2182"/>
    </row>
    <row r="202" spans="2:15" x14ac:dyDescent="0.25">
      <c r="B202" s="2181"/>
      <c r="E202" s="1756"/>
      <c r="F202" s="2766" t="s">
        <v>1160</v>
      </c>
      <c r="G202" s="2767"/>
      <c r="H202" s="2767"/>
      <c r="I202" s="2767"/>
      <c r="J202" s="2767"/>
      <c r="K202" s="2767"/>
      <c r="L202" s="2767"/>
      <c r="M202" s="2768"/>
      <c r="N202" s="2116"/>
      <c r="O202" s="2182"/>
    </row>
    <row r="203" spans="2:15" ht="15.75" thickBot="1" x14ac:dyDescent="0.3">
      <c r="B203" s="2181"/>
      <c r="D203" s="1775"/>
      <c r="E203" s="1775"/>
      <c r="F203" s="1775"/>
      <c r="G203" s="1775"/>
      <c r="H203" s="1782"/>
      <c r="I203" s="1782"/>
      <c r="J203" s="1782"/>
      <c r="K203" s="1782"/>
      <c r="L203" s="1782"/>
      <c r="M203" s="1782"/>
      <c r="O203" s="2182"/>
    </row>
    <row r="204" spans="2:15" ht="15" customHeight="1" x14ac:dyDescent="0.25">
      <c r="B204" s="2181"/>
      <c r="H204" s="1788"/>
      <c r="I204" s="1788"/>
      <c r="J204" s="1788"/>
      <c r="K204" s="1788"/>
      <c r="L204" s="1788"/>
      <c r="M204" s="1788"/>
      <c r="N204" s="1757"/>
      <c r="O204" s="2182"/>
    </row>
    <row r="205" spans="2:15" ht="12" customHeight="1" x14ac:dyDescent="0.25">
      <c r="B205" s="2181"/>
      <c r="C205" s="1753" t="s">
        <v>1499</v>
      </c>
      <c r="D205" s="1754" t="s">
        <v>1796</v>
      </c>
      <c r="E205" s="1754"/>
      <c r="G205" s="1755"/>
      <c r="H205" s="1755"/>
      <c r="I205" s="1755"/>
      <c r="J205" s="1755"/>
      <c r="K205" s="1755"/>
      <c r="L205" s="1755"/>
      <c r="M205" s="1756"/>
      <c r="N205" s="2073">
        <f>IF(N207,4,IF(N208,8,0))</f>
        <v>0</v>
      </c>
      <c r="O205" s="2182"/>
    </row>
    <row r="206" spans="2:15" ht="15.6" customHeight="1" x14ac:dyDescent="0.25">
      <c r="B206" s="2181"/>
      <c r="D206" s="1822" t="s">
        <v>1702</v>
      </c>
      <c r="E206" s="1755"/>
      <c r="F206" s="1754"/>
      <c r="G206" s="1755"/>
      <c r="H206" s="1755"/>
      <c r="I206" s="1755"/>
      <c r="J206" s="1755"/>
      <c r="K206" s="1755"/>
      <c r="L206" s="1755"/>
      <c r="M206" s="1779"/>
      <c r="N206" s="2116"/>
      <c r="O206" s="2182"/>
    </row>
    <row r="207" spans="2:15" ht="17.45" customHeight="1" x14ac:dyDescent="0.25">
      <c r="B207" s="2181"/>
      <c r="D207" s="1755"/>
      <c r="G207" s="2190" t="s">
        <v>1703</v>
      </c>
      <c r="H207" s="1755"/>
      <c r="I207" s="1755"/>
      <c r="J207" s="1755"/>
      <c r="K207" s="1755"/>
      <c r="L207" s="1755"/>
      <c r="M207" s="1990"/>
      <c r="N207" s="2267" t="b">
        <v>0</v>
      </c>
      <c r="O207" s="2182"/>
    </row>
    <row r="208" spans="2:15" ht="12.75" customHeight="1" x14ac:dyDescent="0.25">
      <c r="B208" s="2181"/>
      <c r="D208" s="1755"/>
      <c r="G208" s="2190" t="s">
        <v>1704</v>
      </c>
      <c r="H208" s="1755"/>
      <c r="I208" s="1755"/>
      <c r="J208" s="1755"/>
      <c r="K208" s="1755"/>
      <c r="L208" s="1755"/>
      <c r="M208" s="1991"/>
      <c r="N208" s="2267" t="b">
        <v>0</v>
      </c>
      <c r="O208" s="2182"/>
    </row>
    <row r="209" spans="1:15" ht="15.75" thickBot="1" x14ac:dyDescent="0.3">
      <c r="B209" s="2181"/>
      <c r="D209" s="1775"/>
      <c r="E209" s="1775"/>
      <c r="F209" s="1818"/>
      <c r="G209" s="1775"/>
      <c r="H209" s="1775"/>
      <c r="I209" s="1775"/>
      <c r="J209" s="1775"/>
      <c r="K209" s="1775"/>
      <c r="L209" s="1775"/>
      <c r="M209" s="1775"/>
      <c r="O209" s="2182"/>
    </row>
    <row r="210" spans="1:15" ht="16.149999999999999" customHeight="1" x14ac:dyDescent="0.25">
      <c r="B210" s="2181"/>
      <c r="D210" s="2116"/>
      <c r="E210" s="2116"/>
      <c r="G210" s="2116"/>
      <c r="H210" s="2116"/>
      <c r="I210" s="2116"/>
      <c r="J210" s="2116"/>
      <c r="K210" s="2116"/>
      <c r="L210" s="2116"/>
      <c r="M210" s="2116"/>
      <c r="N210" s="1788"/>
      <c r="O210" s="2182"/>
    </row>
    <row r="211" spans="1:15" ht="16.149999999999999" customHeight="1" x14ac:dyDescent="0.25">
      <c r="A211" s="1788"/>
      <c r="B211" s="2188"/>
      <c r="C211" s="1753" t="s">
        <v>1501</v>
      </c>
      <c r="D211" s="1754" t="s">
        <v>1797</v>
      </c>
      <c r="E211" s="1788"/>
      <c r="F211" s="1788"/>
      <c r="G211" s="1788"/>
      <c r="H211" s="1788"/>
      <c r="I211" s="1788"/>
      <c r="J211" s="1788"/>
      <c r="K211" s="1788"/>
      <c r="L211" s="1788"/>
      <c r="M211" s="1756"/>
      <c r="N211" s="2073">
        <f>COUNTIF(J214:J219,"TRUE")</f>
        <v>0</v>
      </c>
      <c r="O211" s="2182"/>
    </row>
    <row r="212" spans="1:15" ht="9.75" customHeight="1" x14ac:dyDescent="0.25">
      <c r="A212" s="1788"/>
      <c r="B212" s="2188"/>
      <c r="C212" s="1788"/>
      <c r="D212" s="1788"/>
      <c r="E212" s="1788"/>
      <c r="F212" s="1788"/>
      <c r="G212" s="1788"/>
      <c r="H212" s="1788"/>
      <c r="I212" s="1788"/>
      <c r="J212" s="1788"/>
      <c r="K212" s="1788"/>
      <c r="L212" s="1788"/>
      <c r="M212" s="1788"/>
      <c r="N212" s="1788"/>
      <c r="O212" s="2182"/>
    </row>
    <row r="213" spans="1:15" ht="47.25" customHeight="1" x14ac:dyDescent="0.25">
      <c r="A213" s="1788"/>
      <c r="B213" s="2188"/>
      <c r="C213" s="1788"/>
      <c r="D213" s="2769" t="s">
        <v>1705</v>
      </c>
      <c r="E213" s="2770"/>
      <c r="F213" s="2770"/>
      <c r="G213" s="2770"/>
      <c r="H213" s="2770"/>
      <c r="I213" s="2770"/>
      <c r="J213" s="2770"/>
      <c r="K213" s="2770"/>
      <c r="L213" s="2770"/>
      <c r="N213" s="1788"/>
      <c r="O213" s="2182"/>
    </row>
    <row r="214" spans="1:15" x14ac:dyDescent="0.25">
      <c r="A214" s="1788"/>
      <c r="B214" s="2188"/>
      <c r="C214" s="1788"/>
      <c r="D214" s="1788"/>
      <c r="E214" s="1788"/>
      <c r="F214" s="1788"/>
      <c r="G214" s="1788" t="s">
        <v>1397</v>
      </c>
      <c r="H214" s="1788"/>
      <c r="I214" s="1788"/>
      <c r="J214" s="2268" t="b">
        <v>0</v>
      </c>
      <c r="K214" s="1788"/>
      <c r="L214" s="1788"/>
      <c r="M214" s="1788"/>
      <c r="O214" s="2182"/>
    </row>
    <row r="215" spans="1:15" x14ac:dyDescent="0.25">
      <c r="B215" s="2181"/>
      <c r="D215" s="1788"/>
      <c r="G215" s="1788" t="s">
        <v>1505</v>
      </c>
      <c r="H215" s="1788"/>
      <c r="I215" s="1788"/>
      <c r="J215" s="2268" t="b">
        <v>0</v>
      </c>
      <c r="K215" s="1788"/>
      <c r="L215" s="1788"/>
      <c r="M215" s="1993"/>
      <c r="O215" s="2182"/>
    </row>
    <row r="216" spans="1:15" x14ac:dyDescent="0.25">
      <c r="B216" s="2181"/>
      <c r="D216" s="1788"/>
      <c r="F216" s="1788"/>
      <c r="G216" s="1788" t="s">
        <v>1398</v>
      </c>
      <c r="H216" s="1788"/>
      <c r="I216" s="1788"/>
      <c r="J216" s="2268" t="b">
        <v>0</v>
      </c>
      <c r="K216" s="1788"/>
      <c r="L216" s="1788"/>
      <c r="O216" s="2182"/>
    </row>
    <row r="217" spans="1:15" x14ac:dyDescent="0.25">
      <c r="B217" s="2181"/>
      <c r="D217" s="1788"/>
      <c r="F217" s="1788"/>
      <c r="G217" s="1788" t="s">
        <v>1506</v>
      </c>
      <c r="H217" s="1788"/>
      <c r="I217" s="1788"/>
      <c r="J217" s="2268" t="b">
        <v>0</v>
      </c>
      <c r="K217" s="1788"/>
      <c r="L217" s="1788"/>
      <c r="O217" s="2182"/>
    </row>
    <row r="218" spans="1:15" x14ac:dyDescent="0.25">
      <c r="B218" s="2181"/>
      <c r="D218" s="1788"/>
      <c r="G218" s="1788" t="s">
        <v>1399</v>
      </c>
      <c r="H218" s="1788"/>
      <c r="I218" s="1788"/>
      <c r="J218" s="2268" t="b">
        <v>0</v>
      </c>
      <c r="K218" s="1788"/>
      <c r="O218" s="2182"/>
    </row>
    <row r="219" spans="1:15" x14ac:dyDescent="0.25">
      <c r="B219" s="2181"/>
      <c r="D219" s="1755"/>
      <c r="G219" s="1750" t="s">
        <v>1400</v>
      </c>
      <c r="H219" s="1788"/>
      <c r="I219" s="1788"/>
      <c r="J219" s="2268" t="b">
        <v>0</v>
      </c>
      <c r="K219" s="1755"/>
      <c r="O219" s="2182"/>
    </row>
    <row r="220" spans="1:15" ht="15.75" thickBot="1" x14ac:dyDescent="0.3">
      <c r="B220" s="2181"/>
      <c r="D220" s="1820"/>
      <c r="E220" s="1775"/>
      <c r="F220" s="1775"/>
      <c r="G220" s="1782"/>
      <c r="H220" s="1775"/>
      <c r="I220" s="1782"/>
      <c r="J220" s="1782"/>
      <c r="K220" s="1782"/>
      <c r="L220" s="1820"/>
      <c r="M220" s="1775"/>
      <c r="O220" s="2182"/>
    </row>
    <row r="221" spans="1:15" ht="16.149999999999999" customHeight="1" x14ac:dyDescent="0.25">
      <c r="B221" s="2181"/>
      <c r="D221" s="2116"/>
      <c r="E221" s="2116"/>
      <c r="G221" s="2116"/>
      <c r="H221" s="2116"/>
      <c r="I221" s="2116"/>
      <c r="J221" s="2116"/>
      <c r="K221" s="2116"/>
      <c r="L221" s="2116"/>
      <c r="M221" s="2116"/>
      <c r="N221" s="1788"/>
      <c r="O221" s="2182"/>
    </row>
    <row r="222" spans="1:15" ht="16.149999999999999" customHeight="1" x14ac:dyDescent="0.25">
      <c r="B222" s="2181"/>
      <c r="C222" s="1753" t="s">
        <v>1504</v>
      </c>
      <c r="D222" s="1754" t="s">
        <v>1798</v>
      </c>
      <c r="E222" s="1754"/>
      <c r="F222" s="1754"/>
      <c r="G222" s="1755"/>
      <c r="H222" s="1755"/>
      <c r="I222" s="1755"/>
      <c r="J222" s="1755"/>
      <c r="K222" s="1755"/>
      <c r="L222" s="1755"/>
      <c r="M222" s="1756"/>
      <c r="N222" s="2086">
        <v>0</v>
      </c>
      <c r="O222" s="2182"/>
    </row>
    <row r="223" spans="1:15" ht="9.75" customHeight="1" x14ac:dyDescent="0.25">
      <c r="A223" s="2116"/>
      <c r="B223" s="2191"/>
      <c r="C223" s="2116"/>
      <c r="D223" s="2116"/>
      <c r="E223" s="2116"/>
      <c r="F223" s="2116"/>
      <c r="G223" s="2116"/>
      <c r="H223" s="2116"/>
      <c r="I223" s="2116"/>
      <c r="J223" s="2116"/>
      <c r="K223" s="2116"/>
      <c r="L223" s="2116"/>
      <c r="M223" s="1779"/>
      <c r="N223" s="1824"/>
      <c r="O223" s="2182"/>
    </row>
    <row r="224" spans="1:15" ht="39" customHeight="1" x14ac:dyDescent="0.25">
      <c r="B224" s="2181"/>
      <c r="D224" s="1788"/>
      <c r="E224" s="2759" t="s">
        <v>1508</v>
      </c>
      <c r="F224" s="2758"/>
      <c r="G224" s="2758"/>
      <c r="H224" s="2758"/>
      <c r="I224" s="2758"/>
      <c r="J224" s="2758"/>
      <c r="K224" s="2758"/>
      <c r="L224" s="2758"/>
      <c r="M224" s="1788"/>
      <c r="N224" s="1825"/>
      <c r="O224" s="2182"/>
    </row>
    <row r="225" spans="1:15" ht="13.5" customHeight="1" x14ac:dyDescent="0.25">
      <c r="B225" s="2181"/>
      <c r="D225" s="1788"/>
      <c r="E225" s="1822" t="s">
        <v>1702</v>
      </c>
      <c r="M225" s="1788"/>
      <c r="N225" s="1825"/>
      <c r="O225" s="2182"/>
    </row>
    <row r="226" spans="1:15" ht="8.25" customHeight="1" x14ac:dyDescent="0.25">
      <c r="B226" s="2181"/>
      <c r="D226" s="1788"/>
      <c r="E226" s="1822"/>
      <c r="M226" s="1788"/>
      <c r="N226" s="1825"/>
      <c r="O226" s="2182"/>
    </row>
    <row r="227" spans="1:15" x14ac:dyDescent="0.25">
      <c r="B227" s="2181"/>
      <c r="D227" s="1788"/>
      <c r="G227" s="2088"/>
      <c r="H227" s="1750" t="s">
        <v>1706</v>
      </c>
      <c r="I227" s="1788"/>
      <c r="J227" s="1788"/>
      <c r="K227" s="1788"/>
      <c r="L227" s="1788"/>
      <c r="M227" s="1788"/>
      <c r="N227" s="1825"/>
      <c r="O227" s="2182"/>
    </row>
    <row r="228" spans="1:15" x14ac:dyDescent="0.25">
      <c r="B228" s="2181"/>
      <c r="D228" s="1788"/>
      <c r="G228" s="2088"/>
      <c r="H228" s="1788" t="s">
        <v>1707</v>
      </c>
      <c r="I228" s="1788"/>
      <c r="J228" s="1788"/>
      <c r="K228" s="1788"/>
      <c r="L228" s="1788"/>
      <c r="M228" s="1788"/>
      <c r="N228" s="1825"/>
      <c r="O228" s="2182"/>
    </row>
    <row r="229" spans="1:15" ht="15.75" thickBot="1" x14ac:dyDescent="0.3">
      <c r="B229" s="2181"/>
      <c r="D229" s="1782"/>
      <c r="E229" s="1775"/>
      <c r="F229" s="1775"/>
      <c r="G229" s="1782"/>
      <c r="H229" s="1782"/>
      <c r="I229" s="1782"/>
      <c r="J229" s="1782"/>
      <c r="K229" s="1782"/>
      <c r="L229" s="1782"/>
      <c r="M229" s="1782"/>
      <c r="N229" s="1825"/>
      <c r="O229" s="2182"/>
    </row>
    <row r="230" spans="1:15" x14ac:dyDescent="0.25">
      <c r="B230" s="2181"/>
      <c r="D230" s="2116"/>
      <c r="E230" s="1755"/>
      <c r="F230" s="2116"/>
      <c r="G230" s="2116"/>
      <c r="H230" s="2116"/>
      <c r="I230" s="2116"/>
      <c r="J230" s="2116"/>
      <c r="K230" s="2116"/>
      <c r="L230" s="2116"/>
      <c r="N230" s="1825"/>
      <c r="O230" s="2182"/>
    </row>
    <row r="231" spans="1:15" ht="16.149999999999999" customHeight="1" x14ac:dyDescent="0.25">
      <c r="B231" s="2181"/>
      <c r="C231" s="1753" t="s">
        <v>1507</v>
      </c>
      <c r="D231" s="1754" t="s">
        <v>1799</v>
      </c>
      <c r="E231" s="1754"/>
      <c r="F231" s="1754"/>
      <c r="G231" s="1755"/>
      <c r="H231" s="1755"/>
      <c r="I231" s="1755"/>
      <c r="J231" s="1755"/>
      <c r="K231" s="1755"/>
      <c r="L231" s="1755"/>
      <c r="M231" s="1756"/>
      <c r="N231" s="2085">
        <f>IF(AND(N235,N236)=TRUE,6,IF(N235,3,IF(N236,3,0)))</f>
        <v>0</v>
      </c>
      <c r="O231" s="2182"/>
    </row>
    <row r="232" spans="1:15" ht="9.75" customHeight="1" x14ac:dyDescent="0.25">
      <c r="A232" s="2116"/>
      <c r="B232" s="2191"/>
      <c r="C232" s="2116"/>
      <c r="D232" s="2116"/>
      <c r="E232" s="2116"/>
      <c r="F232" s="2116"/>
      <c r="G232" s="2116"/>
      <c r="H232" s="2116"/>
      <c r="I232" s="2116"/>
      <c r="J232" s="2116"/>
      <c r="K232" s="2116"/>
      <c r="L232" s="2116"/>
      <c r="M232" s="1994"/>
      <c r="N232" s="1995"/>
      <c r="O232" s="2192"/>
    </row>
    <row r="233" spans="1:15" ht="14.25" customHeight="1" x14ac:dyDescent="0.25">
      <c r="B233" s="2181"/>
      <c r="D233" s="1754" t="s">
        <v>1708</v>
      </c>
      <c r="E233" s="1754"/>
      <c r="F233" s="1754"/>
      <c r="G233" s="1754"/>
      <c r="H233" s="1754"/>
      <c r="I233" s="1754"/>
      <c r="J233" s="1754"/>
      <c r="K233" s="1754"/>
      <c r="M233" s="1995"/>
      <c r="N233" s="1996"/>
      <c r="O233" s="2192"/>
    </row>
    <row r="234" spans="1:15" ht="13.5" customHeight="1" x14ac:dyDescent="0.25">
      <c r="B234" s="2181"/>
      <c r="D234" s="1788"/>
      <c r="E234" s="1822"/>
      <c r="M234" s="1995"/>
      <c r="N234" s="1996"/>
      <c r="O234" s="2192"/>
    </row>
    <row r="235" spans="1:15" ht="13.5" customHeight="1" x14ac:dyDescent="0.25">
      <c r="B235" s="2181"/>
      <c r="D235" s="1788"/>
      <c r="E235" s="1822"/>
      <c r="F235" s="2190" t="s">
        <v>1537</v>
      </c>
      <c r="M235" s="1788"/>
      <c r="N235" s="2269" t="b">
        <v>0</v>
      </c>
      <c r="O235" s="2182"/>
    </row>
    <row r="236" spans="1:15" ht="13.5" customHeight="1" x14ac:dyDescent="0.25">
      <c r="B236" s="2181"/>
      <c r="D236" s="1788"/>
      <c r="E236" s="1822"/>
      <c r="F236" s="1750" t="s">
        <v>1538</v>
      </c>
      <c r="M236" s="1788"/>
      <c r="N236" s="2269" t="b">
        <v>0</v>
      </c>
      <c r="O236" s="2182"/>
    </row>
    <row r="237" spans="1:15" ht="15.75" thickBot="1" x14ac:dyDescent="0.3">
      <c r="B237" s="2181"/>
      <c r="D237" s="1782"/>
      <c r="E237" s="1775"/>
      <c r="F237" s="1775"/>
      <c r="G237" s="1775"/>
      <c r="H237" s="1782"/>
      <c r="I237" s="1782"/>
      <c r="J237" s="1782"/>
      <c r="K237" s="1782"/>
      <c r="L237" s="1782"/>
      <c r="M237" s="1782"/>
      <c r="O237" s="2182"/>
    </row>
    <row r="238" spans="1:15" x14ac:dyDescent="0.25">
      <c r="B238" s="2181"/>
      <c r="D238" s="1788"/>
      <c r="H238" s="1788"/>
      <c r="I238" s="1788"/>
      <c r="J238" s="1788"/>
      <c r="K238" s="1788"/>
      <c r="L238" s="1788"/>
      <c r="M238" s="1788"/>
      <c r="O238" s="2182"/>
    </row>
    <row r="239" spans="1:15" x14ac:dyDescent="0.25">
      <c r="B239" s="2181"/>
      <c r="C239" s="1753" t="s">
        <v>1509</v>
      </c>
      <c r="D239" s="1754" t="s">
        <v>1800</v>
      </c>
      <c r="H239" s="1788"/>
      <c r="I239" s="1788"/>
      <c r="J239" s="1788"/>
      <c r="K239" s="1788"/>
      <c r="L239" s="1788"/>
      <c r="M239" s="1756"/>
      <c r="N239" s="2073">
        <f>IF(I243,3,IF(I244,5,0))</f>
        <v>0</v>
      </c>
      <c r="O239" s="2182"/>
    </row>
    <row r="240" spans="1:15" x14ac:dyDescent="0.25">
      <c r="B240" s="2181"/>
      <c r="D240" s="1788"/>
      <c r="H240" s="1788"/>
      <c r="I240" s="1788"/>
      <c r="J240" s="1788"/>
      <c r="K240" s="1788"/>
      <c r="L240" s="1788"/>
      <c r="M240" s="1788"/>
      <c r="N240" s="1997"/>
      <c r="O240" s="2182"/>
    </row>
    <row r="241" spans="2:15" ht="30" customHeight="1" x14ac:dyDescent="0.25">
      <c r="B241" s="2181"/>
      <c r="D241" s="2759" t="s">
        <v>1709</v>
      </c>
      <c r="E241" s="2759"/>
      <c r="F241" s="2759"/>
      <c r="G241" s="2759"/>
      <c r="H241" s="2759"/>
      <c r="I241" s="2759"/>
      <c r="J241" s="2759"/>
      <c r="K241" s="2759"/>
      <c r="L241" s="1788"/>
      <c r="M241" s="1788"/>
      <c r="N241" s="1997"/>
      <c r="O241" s="2182"/>
    </row>
    <row r="242" spans="2:15" ht="10.9" customHeight="1" x14ac:dyDescent="0.25">
      <c r="B242" s="2181"/>
      <c r="D242" s="1788"/>
      <c r="H242" s="1788"/>
      <c r="I242" s="1992"/>
      <c r="J242" s="1992"/>
      <c r="K242" s="1788"/>
      <c r="L242" s="1788"/>
      <c r="M242" s="1788"/>
      <c r="N242" s="1997"/>
      <c r="O242" s="2182"/>
    </row>
    <row r="243" spans="2:15" x14ac:dyDescent="0.25">
      <c r="B243" s="2181"/>
      <c r="E243" s="1788"/>
      <c r="F243" s="1993" t="s">
        <v>1710</v>
      </c>
      <c r="H243" s="1788"/>
      <c r="I243" s="2268" t="b">
        <v>0</v>
      </c>
      <c r="J243" s="1992"/>
      <c r="K243" s="1995"/>
      <c r="L243" s="1995"/>
      <c r="M243" s="1788"/>
      <c r="O243" s="2182"/>
    </row>
    <row r="244" spans="2:15" ht="17.45" customHeight="1" x14ac:dyDescent="0.25">
      <c r="B244" s="2181"/>
      <c r="D244" s="1788"/>
      <c r="F244" s="1993" t="s">
        <v>1711</v>
      </c>
      <c r="H244" s="1788"/>
      <c r="I244" s="2268" t="b">
        <v>0</v>
      </c>
      <c r="J244" s="1992"/>
      <c r="K244" s="1995"/>
      <c r="L244" s="1995"/>
      <c r="M244" s="1788"/>
      <c r="O244" s="2182"/>
    </row>
    <row r="245" spans="2:15" ht="17.45" customHeight="1" thickBot="1" x14ac:dyDescent="0.3">
      <c r="B245" s="2181"/>
      <c r="D245" s="1782"/>
      <c r="E245" s="1775"/>
      <c r="F245" s="1998"/>
      <c r="G245" s="1775"/>
      <c r="H245" s="1782"/>
      <c r="I245" s="1782"/>
      <c r="J245" s="1782"/>
      <c r="K245" s="1782"/>
      <c r="L245" s="1782"/>
      <c r="M245" s="1782"/>
      <c r="O245" s="2182"/>
    </row>
    <row r="246" spans="2:15" x14ac:dyDescent="0.25">
      <c r="B246" s="2181"/>
      <c r="D246" s="1788"/>
      <c r="H246" s="1788"/>
      <c r="I246" s="1788"/>
      <c r="J246" s="1788"/>
      <c r="K246" s="1788"/>
      <c r="L246" s="1788"/>
      <c r="M246" s="1788"/>
      <c r="O246" s="2182"/>
    </row>
    <row r="247" spans="2:15" x14ac:dyDescent="0.25">
      <c r="B247" s="2181"/>
      <c r="C247" s="1753" t="s">
        <v>1510</v>
      </c>
      <c r="D247" s="1754" t="s">
        <v>1801</v>
      </c>
      <c r="E247" s="1754"/>
      <c r="G247" s="1755"/>
      <c r="H247" s="1755"/>
      <c r="M247" s="1756"/>
      <c r="N247" s="2076">
        <v>0</v>
      </c>
      <c r="O247" s="2182"/>
    </row>
    <row r="248" spans="2:15" ht="7.5" customHeight="1" x14ac:dyDescent="0.25">
      <c r="B248" s="2181"/>
      <c r="C248" s="1753"/>
      <c r="D248" s="1754"/>
      <c r="E248" s="1754"/>
      <c r="G248" s="1755"/>
      <c r="H248" s="1755"/>
      <c r="I248" s="1755"/>
      <c r="J248" s="1755"/>
      <c r="K248" s="1755"/>
      <c r="L248" s="1755"/>
      <c r="M248" s="1814"/>
      <c r="N248" s="1757"/>
      <c r="O248" s="2182"/>
    </row>
    <row r="249" spans="2:15" ht="27" customHeight="1" x14ac:dyDescent="0.25">
      <c r="B249" s="2181"/>
      <c r="D249" s="2753" t="s">
        <v>1511</v>
      </c>
      <c r="E249" s="2753"/>
      <c r="F249" s="2753"/>
      <c r="G249" s="2753"/>
      <c r="H249" s="2753"/>
      <c r="I249" s="2753"/>
      <c r="J249" s="2753"/>
      <c r="K249" s="2753"/>
      <c r="L249" s="2753"/>
      <c r="M249" s="1779"/>
      <c r="N249" s="2116"/>
      <c r="O249" s="2182"/>
    </row>
    <row r="250" spans="2:15" ht="15.75" thickBot="1" x14ac:dyDescent="0.3">
      <c r="B250" s="2181"/>
      <c r="C250" s="1753"/>
      <c r="D250" s="1777"/>
      <c r="E250" s="1777"/>
      <c r="F250" s="1775"/>
      <c r="G250" s="1820"/>
      <c r="H250" s="1820"/>
      <c r="I250" s="1775"/>
      <c r="J250" s="1775"/>
      <c r="K250" s="1775"/>
      <c r="L250" s="1775"/>
      <c r="M250" s="1999"/>
      <c r="O250" s="2182"/>
    </row>
    <row r="251" spans="2:15" x14ac:dyDescent="0.25">
      <c r="B251" s="2181"/>
      <c r="C251" s="1753"/>
      <c r="D251" s="1754"/>
      <c r="E251" s="1754"/>
      <c r="G251" s="1755"/>
      <c r="H251" s="1755"/>
      <c r="M251" s="1756"/>
      <c r="O251" s="2182"/>
    </row>
    <row r="252" spans="2:15" x14ac:dyDescent="0.25">
      <c r="B252" s="2181"/>
      <c r="C252" s="1753" t="s">
        <v>1712</v>
      </c>
      <c r="D252" s="1754" t="s">
        <v>1802</v>
      </c>
      <c r="H252" s="1788"/>
      <c r="I252" s="1788"/>
      <c r="J252" s="1788"/>
      <c r="K252" s="1788"/>
      <c r="L252" s="1788"/>
      <c r="M252" s="1756"/>
      <c r="N252" s="2076">
        <v>0</v>
      </c>
      <c r="O252" s="2182"/>
    </row>
    <row r="253" spans="2:15" x14ac:dyDescent="0.25">
      <c r="B253" s="2181"/>
      <c r="D253" s="1788"/>
      <c r="H253" s="1788"/>
      <c r="I253" s="1788"/>
      <c r="J253" s="1788"/>
      <c r="K253" s="1788"/>
      <c r="L253" s="1788"/>
      <c r="M253" s="1788"/>
      <c r="O253" s="2182"/>
    </row>
    <row r="254" spans="2:15" ht="36.6" customHeight="1" x14ac:dyDescent="0.25">
      <c r="B254" s="2181"/>
      <c r="D254" s="2759" t="s">
        <v>1713</v>
      </c>
      <c r="E254" s="2759"/>
      <c r="F254" s="2759"/>
      <c r="G254" s="2759"/>
      <c r="H254" s="2759"/>
      <c r="I254" s="2759"/>
      <c r="J254" s="2759"/>
      <c r="K254" s="2759"/>
      <c r="L254" s="2759"/>
      <c r="O254" s="2182"/>
    </row>
    <row r="255" spans="2:15" ht="15.75" thickBot="1" x14ac:dyDescent="0.3">
      <c r="B255" s="2181"/>
      <c r="O255" s="2182"/>
    </row>
    <row r="256" spans="2:15" ht="28.5" customHeight="1" thickTop="1" thickBot="1" x14ac:dyDescent="0.3">
      <c r="B256" s="2181"/>
      <c r="C256" s="1826"/>
      <c r="D256" s="1827" t="s">
        <v>1714</v>
      </c>
      <c r="E256" s="1827"/>
      <c r="F256" s="1826"/>
      <c r="G256" s="1826"/>
      <c r="H256" s="1826"/>
      <c r="I256" s="1826"/>
      <c r="J256" s="1826"/>
      <c r="K256" s="1826"/>
      <c r="L256" s="1826"/>
      <c r="M256" s="1826"/>
      <c r="N256" s="2087">
        <f>SUM(N252,N247,N239,N231,N222,N211,N205,N198,N193,N188,N177,N182,N161,N153,N147,N134,N127,N99,N87,N77,N66,N40,N33,N19, N169)</f>
        <v>0</v>
      </c>
      <c r="O256" s="2182"/>
    </row>
    <row r="257" spans="2:15" ht="16.5" thickTop="1" thickBot="1" x14ac:dyDescent="0.3">
      <c r="B257" s="2193"/>
      <c r="C257" s="2194"/>
      <c r="D257" s="2194"/>
      <c r="E257" s="2194"/>
      <c r="F257" s="2194"/>
      <c r="G257" s="2194"/>
      <c r="H257" s="2194"/>
      <c r="I257" s="2194"/>
      <c r="J257" s="2194"/>
      <c r="K257" s="2194"/>
      <c r="L257" s="2194"/>
      <c r="M257" s="2194"/>
      <c r="N257" s="2194"/>
      <c r="O257" s="2195"/>
    </row>
  </sheetData>
  <sheetProtection algorithmName="SHA-512" hashValue="cqsTQl8DV5rxGjlgKwGjiAJJYuMLq8mLnZH8Q14q0KcF59mZi0cJVrYc6XZit4lpgbTiXDckty+bmG2c/caj/g==" saltValue="Jh/2il5jNOMatEGt1v4Rww==" spinCount="100000" sheet="1" formatCells="0" formatColumns="0" formatRows="0"/>
  <mergeCells count="35">
    <mergeCell ref="C13:N13"/>
    <mergeCell ref="C15:N15"/>
    <mergeCell ref="D254:L254"/>
    <mergeCell ref="K103:L103"/>
    <mergeCell ref="F202:M202"/>
    <mergeCell ref="D213:L213"/>
    <mergeCell ref="E224:L224"/>
    <mergeCell ref="D171:L171"/>
    <mergeCell ref="F173:M173"/>
    <mergeCell ref="D179:L179"/>
    <mergeCell ref="D184:L184"/>
    <mergeCell ref="D190:L190"/>
    <mergeCell ref="D195:L195"/>
    <mergeCell ref="D155:N155"/>
    <mergeCell ref="D163:N163"/>
    <mergeCell ref="F165:M165"/>
    <mergeCell ref="D241:K241"/>
    <mergeCell ref="D249:L249"/>
    <mergeCell ref="D101:N101"/>
    <mergeCell ref="J95:K95"/>
    <mergeCell ref="J96:K96"/>
    <mergeCell ref="F131:G131"/>
    <mergeCell ref="D149:N149"/>
    <mergeCell ref="J94:K94"/>
    <mergeCell ref="M17:M18"/>
    <mergeCell ref="N17:N18"/>
    <mergeCell ref="F23:M23"/>
    <mergeCell ref="G30:I30"/>
    <mergeCell ref="F37:G37"/>
    <mergeCell ref="D42:N43"/>
    <mergeCell ref="F69:M69"/>
    <mergeCell ref="F79:M79"/>
    <mergeCell ref="F81:L84"/>
    <mergeCell ref="D89:N89"/>
    <mergeCell ref="F91:M91"/>
  </mergeCells>
  <dataValidations count="3">
    <dataValidation type="list" allowBlank="1" showInputMessage="1" showErrorMessage="1" sqref="F173" xr:uid="{00000000-0002-0000-2500-000000000000}">
      <formula1>Location_eff_4percent</formula1>
    </dataValidation>
    <dataValidation allowBlank="1" showErrorMessage="1" sqref="N23" xr:uid="{00000000-0002-0000-2500-000001000000}"/>
    <dataValidation type="list" allowBlank="1" showInputMessage="1" showErrorMessage="1" sqref="K103" xr:uid="{00000000-0002-0000-2500-000002000000}">
      <formula1>TDC_limit</formula1>
    </dataValidation>
  </dataValidations>
  <pageMargins left="0.7" right="0.7" top="0.75" bottom="0.75" header="0.3" footer="0.3"/>
  <pageSetup scale="75" fitToHeight="4" orientation="portrait" r:id="rId1"/>
  <headerFooter>
    <oddFooter>&amp;LForm 11B
4% Tax Credit/Bond Program Scoring&amp;CCFA Forms</oddFooter>
  </headerFooter>
  <rowBreaks count="2" manualBreakCount="2">
    <brk id="75" min="1" max="14" man="1"/>
    <brk id="144" min="1" max="14"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3777" r:id="rId4" name="Check Box 1">
              <controlPr locked="0" defaultSize="0" autoFill="0" autoLine="0" autoPict="0">
                <anchor moveWithCells="1">
                  <from>
                    <xdr:col>3</xdr:col>
                    <xdr:colOff>123825</xdr:colOff>
                    <xdr:row>242</xdr:row>
                    <xdr:rowOff>38100</xdr:rowOff>
                  </from>
                  <to>
                    <xdr:col>4</xdr:col>
                    <xdr:colOff>161925</xdr:colOff>
                    <xdr:row>243</xdr:row>
                    <xdr:rowOff>0</xdr:rowOff>
                  </to>
                </anchor>
              </controlPr>
            </control>
          </mc:Choice>
        </mc:AlternateContent>
        <mc:AlternateContent xmlns:mc="http://schemas.openxmlformats.org/markup-compatibility/2006">
          <mc:Choice Requires="x14">
            <control shapeId="203778" r:id="rId5" name="Check Box 2">
              <controlPr locked="0" defaultSize="0" autoFill="0" autoLine="0" autoPict="0">
                <anchor moveWithCells="1">
                  <from>
                    <xdr:col>3</xdr:col>
                    <xdr:colOff>123825</xdr:colOff>
                    <xdr:row>243</xdr:row>
                    <xdr:rowOff>57150</xdr:rowOff>
                  </from>
                  <to>
                    <xdr:col>4</xdr:col>
                    <xdr:colOff>161925</xdr:colOff>
                    <xdr:row>243</xdr:row>
                    <xdr:rowOff>180975</xdr:rowOff>
                  </to>
                </anchor>
              </controlPr>
            </control>
          </mc:Choice>
        </mc:AlternateContent>
        <mc:AlternateContent xmlns:mc="http://schemas.openxmlformats.org/markup-compatibility/2006">
          <mc:Choice Requires="x14">
            <control shapeId="203779" r:id="rId6" name="Check Box 3">
              <controlPr locked="0" defaultSize="0" autoFill="0" autoLine="0" autoPict="0">
                <anchor moveWithCells="1">
                  <from>
                    <xdr:col>5</xdr:col>
                    <xdr:colOff>495300</xdr:colOff>
                    <xdr:row>206</xdr:row>
                    <xdr:rowOff>57150</xdr:rowOff>
                  </from>
                  <to>
                    <xdr:col>5</xdr:col>
                    <xdr:colOff>676275</xdr:colOff>
                    <xdr:row>207</xdr:row>
                    <xdr:rowOff>0</xdr:rowOff>
                  </to>
                </anchor>
              </controlPr>
            </control>
          </mc:Choice>
        </mc:AlternateContent>
        <mc:AlternateContent xmlns:mc="http://schemas.openxmlformats.org/markup-compatibility/2006">
          <mc:Choice Requires="x14">
            <control shapeId="203780" r:id="rId7" name="Check Box 4">
              <controlPr locked="0" defaultSize="0" autoFill="0" autoLine="0" autoPict="0">
                <anchor moveWithCells="1">
                  <from>
                    <xdr:col>5</xdr:col>
                    <xdr:colOff>495300</xdr:colOff>
                    <xdr:row>207</xdr:row>
                    <xdr:rowOff>28575</xdr:rowOff>
                  </from>
                  <to>
                    <xdr:col>5</xdr:col>
                    <xdr:colOff>676275</xdr:colOff>
                    <xdr:row>208</xdr:row>
                    <xdr:rowOff>0</xdr:rowOff>
                  </to>
                </anchor>
              </controlPr>
            </control>
          </mc:Choice>
        </mc:AlternateContent>
        <mc:AlternateContent xmlns:mc="http://schemas.openxmlformats.org/markup-compatibility/2006">
          <mc:Choice Requires="x14">
            <control shapeId="203781" r:id="rId8" name="Check Box 5">
              <controlPr locked="0" defaultSize="0" autoFill="0" autoLine="0" autoPict="0">
                <anchor moveWithCells="1">
                  <from>
                    <xdr:col>5</xdr:col>
                    <xdr:colOff>495300</xdr:colOff>
                    <xdr:row>215</xdr:row>
                    <xdr:rowOff>9525</xdr:rowOff>
                  </from>
                  <to>
                    <xdr:col>5</xdr:col>
                    <xdr:colOff>676275</xdr:colOff>
                    <xdr:row>215</xdr:row>
                    <xdr:rowOff>142875</xdr:rowOff>
                  </to>
                </anchor>
              </controlPr>
            </control>
          </mc:Choice>
        </mc:AlternateContent>
        <mc:AlternateContent xmlns:mc="http://schemas.openxmlformats.org/markup-compatibility/2006">
          <mc:Choice Requires="x14">
            <control shapeId="203782" r:id="rId9" name="Check Box 6">
              <controlPr locked="0" defaultSize="0" autoFill="0" autoLine="0" autoPict="0">
                <anchor moveWithCells="1">
                  <from>
                    <xdr:col>5</xdr:col>
                    <xdr:colOff>495300</xdr:colOff>
                    <xdr:row>216</xdr:row>
                    <xdr:rowOff>19050</xdr:rowOff>
                  </from>
                  <to>
                    <xdr:col>5</xdr:col>
                    <xdr:colOff>676275</xdr:colOff>
                    <xdr:row>216</xdr:row>
                    <xdr:rowOff>142875</xdr:rowOff>
                  </to>
                </anchor>
              </controlPr>
            </control>
          </mc:Choice>
        </mc:AlternateContent>
        <mc:AlternateContent xmlns:mc="http://schemas.openxmlformats.org/markup-compatibility/2006">
          <mc:Choice Requires="x14">
            <control shapeId="203783" r:id="rId10" name="Check Box 7">
              <controlPr locked="0" defaultSize="0" autoFill="0" autoLine="0" autoPict="0">
                <anchor moveWithCells="1">
                  <from>
                    <xdr:col>5</xdr:col>
                    <xdr:colOff>495300</xdr:colOff>
                    <xdr:row>213</xdr:row>
                    <xdr:rowOff>9525</xdr:rowOff>
                  </from>
                  <to>
                    <xdr:col>5</xdr:col>
                    <xdr:colOff>676275</xdr:colOff>
                    <xdr:row>213</xdr:row>
                    <xdr:rowOff>142875</xdr:rowOff>
                  </to>
                </anchor>
              </controlPr>
            </control>
          </mc:Choice>
        </mc:AlternateContent>
        <mc:AlternateContent xmlns:mc="http://schemas.openxmlformats.org/markup-compatibility/2006">
          <mc:Choice Requires="x14">
            <control shapeId="203784" r:id="rId11" name="Check Box 8">
              <controlPr locked="0" defaultSize="0" autoFill="0" autoLine="0" autoPict="0">
                <anchor moveWithCells="1">
                  <from>
                    <xdr:col>5</xdr:col>
                    <xdr:colOff>495300</xdr:colOff>
                    <xdr:row>214</xdr:row>
                    <xdr:rowOff>9525</xdr:rowOff>
                  </from>
                  <to>
                    <xdr:col>5</xdr:col>
                    <xdr:colOff>676275</xdr:colOff>
                    <xdr:row>214</xdr:row>
                    <xdr:rowOff>133350</xdr:rowOff>
                  </to>
                </anchor>
              </controlPr>
            </control>
          </mc:Choice>
        </mc:AlternateContent>
        <mc:AlternateContent xmlns:mc="http://schemas.openxmlformats.org/markup-compatibility/2006">
          <mc:Choice Requires="x14">
            <control shapeId="203785" r:id="rId12" name="Check Box 9">
              <controlPr locked="0" defaultSize="0" autoFill="0" autoLine="0" autoPict="0">
                <anchor moveWithCells="1">
                  <from>
                    <xdr:col>5</xdr:col>
                    <xdr:colOff>504825</xdr:colOff>
                    <xdr:row>217</xdr:row>
                    <xdr:rowOff>9525</xdr:rowOff>
                  </from>
                  <to>
                    <xdr:col>5</xdr:col>
                    <xdr:colOff>676275</xdr:colOff>
                    <xdr:row>217</xdr:row>
                    <xdr:rowOff>142875</xdr:rowOff>
                  </to>
                </anchor>
              </controlPr>
            </control>
          </mc:Choice>
        </mc:AlternateContent>
        <mc:AlternateContent xmlns:mc="http://schemas.openxmlformats.org/markup-compatibility/2006">
          <mc:Choice Requires="x14">
            <control shapeId="203786" r:id="rId13" name="Check Box 10">
              <controlPr locked="0" defaultSize="0" autoFill="0" autoLine="0" autoPict="0">
                <anchor moveWithCells="1">
                  <from>
                    <xdr:col>5</xdr:col>
                    <xdr:colOff>495300</xdr:colOff>
                    <xdr:row>218</xdr:row>
                    <xdr:rowOff>9525</xdr:rowOff>
                  </from>
                  <to>
                    <xdr:col>5</xdr:col>
                    <xdr:colOff>676275</xdr:colOff>
                    <xdr:row>218</xdr:row>
                    <xdr:rowOff>133350</xdr:rowOff>
                  </to>
                </anchor>
              </controlPr>
            </control>
          </mc:Choice>
        </mc:AlternateContent>
        <mc:AlternateContent xmlns:mc="http://schemas.openxmlformats.org/markup-compatibility/2006">
          <mc:Choice Requires="x14">
            <control shapeId="203787" r:id="rId14" name="Check Box 11">
              <controlPr locked="0" defaultSize="0" autoFill="0" autoLine="0" autoPict="0">
                <anchor moveWithCells="1">
                  <from>
                    <xdr:col>3</xdr:col>
                    <xdr:colOff>95250</xdr:colOff>
                    <xdr:row>234</xdr:row>
                    <xdr:rowOff>9525</xdr:rowOff>
                  </from>
                  <to>
                    <xdr:col>4</xdr:col>
                    <xdr:colOff>133350</xdr:colOff>
                    <xdr:row>234</xdr:row>
                    <xdr:rowOff>142875</xdr:rowOff>
                  </to>
                </anchor>
              </controlPr>
            </control>
          </mc:Choice>
        </mc:AlternateContent>
        <mc:AlternateContent xmlns:mc="http://schemas.openxmlformats.org/markup-compatibility/2006">
          <mc:Choice Requires="x14">
            <control shapeId="203788" r:id="rId15" name="Check Box 12">
              <controlPr locked="0" defaultSize="0" autoFill="0" autoLine="0" autoPict="0">
                <anchor moveWithCells="1">
                  <from>
                    <xdr:col>3</xdr:col>
                    <xdr:colOff>95250</xdr:colOff>
                    <xdr:row>235</xdr:row>
                    <xdr:rowOff>38100</xdr:rowOff>
                  </from>
                  <to>
                    <xdr:col>4</xdr:col>
                    <xdr:colOff>133350</xdr:colOff>
                    <xdr:row>236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2500-000003000000}">
          <x14:formula1>
            <xm:f>'ScoringLists (4%)'!$D$25:$D$26</xm:f>
          </x14:formula1>
          <xm:sqref>N188 N182</xm:sqref>
        </x14:dataValidation>
        <x14:dataValidation type="list" allowBlank="1" showInputMessage="1" showErrorMessage="1" xr:uid="{00000000-0002-0000-2500-000004000000}">
          <x14:formula1>
            <xm:f>'ScoringLists (4%)'!$D$1:$D$2</xm:f>
          </x14:formula1>
          <xm:sqref>N177</xm:sqref>
        </x14:dataValidation>
        <x14:dataValidation type="list" allowBlank="1" showInputMessage="1" showErrorMessage="1" xr:uid="{00000000-0002-0000-2500-000005000000}">
          <x14:formula1>
            <xm:f>'ScoringLists (4%)'!$D$22:$D$23</xm:f>
          </x14:formula1>
          <xm:sqref>N193</xm:sqref>
        </x14:dataValidation>
        <x14:dataValidation type="list" allowBlank="1" showInputMessage="1" showErrorMessage="1" xr:uid="{00000000-0002-0000-2500-000006000000}">
          <x14:formula1>
            <xm:f>'ScoringLists (4%)'!$B$79:$B$81</xm:f>
          </x14:formula1>
          <xm:sqref>F202</xm:sqref>
        </x14:dataValidation>
        <x14:dataValidation type="list" allowBlank="1" showInputMessage="1" showErrorMessage="1" xr:uid="{00000000-0002-0000-2500-000007000000}">
          <x14:formula1>
            <xm:f>'ScoringLists (4%)'!$B$44:$B$47</xm:f>
          </x14:formula1>
          <xm:sqref>F91</xm:sqref>
        </x14:dataValidation>
        <x14:dataValidation type="list" allowBlank="1" showInputMessage="1" showErrorMessage="1" xr:uid="{00000000-0002-0000-2500-000008000000}">
          <x14:formula1>
            <xm:f>'ScoringLists (4%)'!$D$45:$D$47</xm:f>
          </x14:formula1>
          <xm:sqref>N231</xm:sqref>
        </x14:dataValidation>
        <x14:dataValidation type="list" allowBlank="1" showInputMessage="1" showErrorMessage="1" xr:uid="{00000000-0002-0000-2500-000009000000}">
          <x14:formula1>
            <xm:f>'ScoringLists (4%)'!$B$67:$B$71</xm:f>
          </x14:formula1>
          <xm:sqref>F165:M165</xm:sqref>
        </x14:dataValidation>
        <x14:dataValidation type="list" allowBlank="1" showInputMessage="1" showErrorMessage="1" xr:uid="{00000000-0002-0000-2500-00000A000000}">
          <x14:formula1>
            <xm:f>'ScoringLists (4%)'!$B$59:$B$64</xm:f>
          </x14:formula1>
          <xm:sqref>F131</xm:sqref>
        </x14:dataValidation>
        <x14:dataValidation type="list" allowBlank="1" showInputMessage="1" showErrorMessage="1" xr:uid="{00000000-0002-0000-2500-00000B000000}">
          <x14:formula1>
            <xm:f>'ScoringLists (4%)'!$B$36:$B$41</xm:f>
          </x14:formula1>
          <xm:sqref>F69</xm:sqref>
        </x14:dataValidation>
        <x14:dataValidation type="list" allowBlank="1" showInputMessage="1" showErrorMessage="1" xr:uid="{00000000-0002-0000-2500-00000C000000}">
          <x14:formula1>
            <xm:f>'ScoringLists (4%)'!$D$16:$D$17</xm:f>
          </x14:formula1>
          <xm:sqref>M55:M56 M62</xm:sqref>
        </x14:dataValidation>
        <x14:dataValidation type="list" allowBlank="1" showInputMessage="1" showErrorMessage="1" xr:uid="{00000000-0002-0000-2500-00000D000000}">
          <x14:formula1>
            <xm:f>'ScoringLists (4%)'!$D$12:$D$13</xm:f>
          </x14:formula1>
          <xm:sqref>M49:M50 M61 N247 N134 N147 N153 N252</xm:sqref>
        </x14:dataValidation>
        <x14:dataValidation type="list" allowBlank="1" showInputMessage="1" showErrorMessage="1" xr:uid="{00000000-0002-0000-2500-00000E000000}">
          <x14:formula1>
            <xm:f>'ScoringLists (4%)'!$D$1:$D$6</xm:f>
          </x14:formula1>
          <xm:sqref>N19</xm:sqref>
        </x14:dataValidation>
        <x14:dataValidation type="list" allowBlank="1" showErrorMessage="1" xr:uid="{00000000-0002-0000-2500-00000F000000}">
          <x14:formula1>
            <xm:f>'ScoringLists (4%)'!$B$3:$B$9</xm:f>
          </x14:formula1>
          <xm:sqref>F23</xm:sqref>
        </x14:dataValidation>
        <x14:dataValidation type="list" allowBlank="1" showInputMessage="1" showErrorMessage="1" xr:uid="{00000000-0002-0000-2500-000010000000}">
          <x14:formula1>
            <xm:f>'ScoringLists (4%)'!$D$18:$D$19</xm:f>
          </x14:formula1>
          <xm:sqref>F79</xm:sqref>
        </x14:dataValidation>
        <x14:dataValidation type="list" allowBlank="1" showInputMessage="1" xr:uid="{00000000-0002-0000-2500-000011000000}">
          <x14:formula1>
            <xm:f>'ScoringLists (4%)'!$B$21:$B$32</xm:f>
          </x14:formula1>
          <xm:sqref>F37</xm:sqref>
        </x14:dataValidation>
        <x14:dataValidation type="list" allowBlank="1" showInputMessage="1" showErrorMessage="1" xr:uid="{00000000-0002-0000-2500-000012000000}">
          <x14:formula1>
            <xm:f>'ScoringLists (4%)'!$B$12:$B$13</xm:f>
          </x14:formula1>
          <xm:sqref>F27</xm:sqref>
        </x14:dataValidation>
        <x14:dataValidation type="list" allowBlank="1" showInputMessage="1" showErrorMessage="1" xr:uid="{00000000-0002-0000-2500-000013000000}">
          <x14:formula1>
            <xm:f>'ScoringLists (4%)'!$B$14:$B$19</xm:f>
          </x14:formula1>
          <xm:sqref>F28:F29</xm:sqref>
        </x14:dataValidation>
        <x14:dataValidation type="list" allowBlank="1" showInputMessage="1" showErrorMessage="1" xr:uid="{00000000-0002-0000-2500-000014000000}">
          <x14:formula1>
            <xm:f>'ScoringLists (4%)'!$D$43:$D$44</xm:f>
          </x14:formula1>
          <xm:sqref>G227:G228</xm:sqref>
        </x14:dataValidation>
        <x14:dataValidation type="list" allowBlank="1" showInputMessage="1" showErrorMessage="1" xr:uid="{00000000-0002-0000-2500-000015000000}">
          <x14:formula1>
            <xm:f>'ScoringLists (4%)'!$D$28:$D$29</xm:f>
          </x14:formula1>
          <xm:sqref>N222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pageSetUpPr fitToPage="1"/>
  </sheetPr>
  <dimension ref="A1:D127"/>
  <sheetViews>
    <sheetView topLeftCell="A97" workbookViewId="0">
      <selection activeCell="E118" sqref="E118"/>
    </sheetView>
  </sheetViews>
  <sheetFormatPr defaultColWidth="9.140625" defaultRowHeight="15" x14ac:dyDescent="0.25"/>
  <cols>
    <col min="1" max="1" width="42" style="1823" customWidth="1"/>
    <col min="2" max="2" width="115" style="1823" bestFit="1" customWidth="1"/>
    <col min="3" max="16384" width="9.140625" style="1823"/>
  </cols>
  <sheetData>
    <row r="1" spans="1:4" x14ac:dyDescent="0.25">
      <c r="A1" s="1829"/>
      <c r="D1" s="1823">
        <v>0</v>
      </c>
    </row>
    <row r="2" spans="1:4" x14ac:dyDescent="0.25">
      <c r="D2" s="1823">
        <v>2</v>
      </c>
    </row>
    <row r="3" spans="1:4" x14ac:dyDescent="0.25">
      <c r="A3" s="1829" t="s">
        <v>1715</v>
      </c>
      <c r="B3" s="1823" t="s">
        <v>1377</v>
      </c>
      <c r="D3" s="1823">
        <v>4</v>
      </c>
    </row>
    <row r="4" spans="1:4" x14ac:dyDescent="0.25">
      <c r="A4" s="1823" t="s">
        <v>1716</v>
      </c>
      <c r="B4" s="1823" t="s">
        <v>1401</v>
      </c>
      <c r="D4" s="1823">
        <v>6</v>
      </c>
    </row>
    <row r="5" spans="1:4" x14ac:dyDescent="0.25">
      <c r="B5" s="1823" t="s">
        <v>1402</v>
      </c>
      <c r="D5" s="1823">
        <v>8</v>
      </c>
    </row>
    <row r="6" spans="1:4" x14ac:dyDescent="0.25">
      <c r="B6" s="1823" t="s">
        <v>1403</v>
      </c>
      <c r="D6" s="1823">
        <v>10</v>
      </c>
    </row>
    <row r="7" spans="1:4" x14ac:dyDescent="0.25">
      <c r="B7" s="1823" t="s">
        <v>1404</v>
      </c>
    </row>
    <row r="8" spans="1:4" x14ac:dyDescent="0.25">
      <c r="B8" s="1823" t="s">
        <v>1405</v>
      </c>
    </row>
    <row r="9" spans="1:4" x14ac:dyDescent="0.25">
      <c r="B9" s="1823" t="s">
        <v>1406</v>
      </c>
    </row>
    <row r="12" spans="1:4" x14ac:dyDescent="0.25">
      <c r="A12" s="1829" t="s">
        <v>1616</v>
      </c>
      <c r="B12" s="1830">
        <v>0</v>
      </c>
      <c r="D12" s="1823">
        <v>0</v>
      </c>
    </row>
    <row r="13" spans="1:4" x14ac:dyDescent="0.25">
      <c r="A13" s="1823" t="s">
        <v>1617</v>
      </c>
      <c r="B13" s="1830">
        <v>0.1</v>
      </c>
      <c r="D13" s="1823">
        <v>5</v>
      </c>
    </row>
    <row r="14" spans="1:4" x14ac:dyDescent="0.25">
      <c r="B14" s="1830">
        <v>0</v>
      </c>
    </row>
    <row r="15" spans="1:4" x14ac:dyDescent="0.25">
      <c r="B15" s="1830">
        <v>0.3</v>
      </c>
    </row>
    <row r="16" spans="1:4" x14ac:dyDescent="0.25">
      <c r="B16" s="1830">
        <v>0.5</v>
      </c>
      <c r="D16" s="1823">
        <v>0</v>
      </c>
    </row>
    <row r="17" spans="1:4" x14ac:dyDescent="0.25">
      <c r="B17" s="1830">
        <v>0.7</v>
      </c>
      <c r="D17" s="1823">
        <v>10</v>
      </c>
    </row>
    <row r="18" spans="1:4" x14ac:dyDescent="0.25">
      <c r="B18" s="1830">
        <v>0.9</v>
      </c>
      <c r="D18" s="1823" t="s">
        <v>1160</v>
      </c>
    </row>
    <row r="19" spans="1:4" x14ac:dyDescent="0.25">
      <c r="B19" s="1830">
        <v>1</v>
      </c>
      <c r="D19" s="1831" t="s">
        <v>559</v>
      </c>
    </row>
    <row r="20" spans="1:4" x14ac:dyDescent="0.25">
      <c r="D20" s="1831" t="s">
        <v>560</v>
      </c>
    </row>
    <row r="21" spans="1:4" x14ac:dyDescent="0.25">
      <c r="A21" s="1829" t="s">
        <v>1618</v>
      </c>
      <c r="B21" s="1823" t="s">
        <v>1160</v>
      </c>
    </row>
    <row r="22" spans="1:4" x14ac:dyDescent="0.25">
      <c r="B22" s="1832" t="s">
        <v>1512</v>
      </c>
      <c r="D22" s="1823">
        <v>0</v>
      </c>
    </row>
    <row r="23" spans="1:4" x14ac:dyDescent="0.25">
      <c r="B23" s="1832" t="s">
        <v>1513</v>
      </c>
      <c r="D23" s="1823">
        <v>1</v>
      </c>
    </row>
    <row r="24" spans="1:4" x14ac:dyDescent="0.25">
      <c r="B24" s="1832" t="s">
        <v>1514</v>
      </c>
    </row>
    <row r="25" spans="1:4" x14ac:dyDescent="0.25">
      <c r="B25" s="1832" t="s">
        <v>1515</v>
      </c>
      <c r="D25" s="1823">
        <v>0</v>
      </c>
    </row>
    <row r="26" spans="1:4" x14ac:dyDescent="0.25">
      <c r="B26" s="1832" t="s">
        <v>1516</v>
      </c>
      <c r="D26" s="1823">
        <v>3</v>
      </c>
    </row>
    <row r="27" spans="1:4" x14ac:dyDescent="0.25">
      <c r="B27" s="1832" t="s">
        <v>1517</v>
      </c>
    </row>
    <row r="28" spans="1:4" x14ac:dyDescent="0.25">
      <c r="B28" s="1832" t="s">
        <v>1518</v>
      </c>
      <c r="D28" s="1823">
        <v>0</v>
      </c>
    </row>
    <row r="29" spans="1:4" x14ac:dyDescent="0.25">
      <c r="B29" s="1832" t="s">
        <v>1519</v>
      </c>
      <c r="D29" s="1823">
        <v>2</v>
      </c>
    </row>
    <row r="30" spans="1:4" x14ac:dyDescent="0.25">
      <c r="B30" s="1832" t="s">
        <v>1520</v>
      </c>
      <c r="D30" s="1823">
        <v>0</v>
      </c>
    </row>
    <row r="31" spans="1:4" x14ac:dyDescent="0.25">
      <c r="B31" s="1832" t="s">
        <v>1521</v>
      </c>
      <c r="D31" s="1823">
        <v>4</v>
      </c>
    </row>
    <row r="32" spans="1:4" x14ac:dyDescent="0.25">
      <c r="B32" s="1832" t="s">
        <v>1522</v>
      </c>
      <c r="D32" s="1823">
        <v>8</v>
      </c>
    </row>
    <row r="34" spans="1:4" x14ac:dyDescent="0.25">
      <c r="A34" s="1832" t="s">
        <v>1717</v>
      </c>
      <c r="B34" s="1832" t="s">
        <v>1160</v>
      </c>
      <c r="D34" s="1823">
        <v>0</v>
      </c>
    </row>
    <row r="35" spans="1:4" x14ac:dyDescent="0.25">
      <c r="A35" s="1832"/>
      <c r="B35" s="1833" t="s">
        <v>1407</v>
      </c>
      <c r="D35" s="1823">
        <v>1</v>
      </c>
    </row>
    <row r="36" spans="1:4" x14ac:dyDescent="0.25">
      <c r="A36" s="1832" t="s">
        <v>1322</v>
      </c>
      <c r="B36" s="1832" t="s">
        <v>1160</v>
      </c>
      <c r="D36" s="1823">
        <v>2</v>
      </c>
    </row>
    <row r="37" spans="1:4" x14ac:dyDescent="0.25">
      <c r="A37" s="1832" t="s">
        <v>1718</v>
      </c>
      <c r="B37" s="1832" t="s">
        <v>1523</v>
      </c>
      <c r="D37" s="1823">
        <v>3</v>
      </c>
    </row>
    <row r="38" spans="1:4" x14ac:dyDescent="0.25">
      <c r="B38" s="1832" t="s">
        <v>1524</v>
      </c>
      <c r="D38" s="1823">
        <v>4</v>
      </c>
    </row>
    <row r="39" spans="1:4" x14ac:dyDescent="0.25">
      <c r="A39" s="1832"/>
      <c r="B39" s="1832" t="s">
        <v>1525</v>
      </c>
      <c r="D39" s="1823">
        <v>5</v>
      </c>
    </row>
    <row r="40" spans="1:4" x14ac:dyDescent="0.25">
      <c r="A40" s="1832"/>
      <c r="B40" s="1832" t="s">
        <v>1526</v>
      </c>
      <c r="D40" s="1823">
        <v>6</v>
      </c>
    </row>
    <row r="41" spans="1:4" x14ac:dyDescent="0.25">
      <c r="A41" s="1832"/>
      <c r="B41" s="1832" t="s">
        <v>1527</v>
      </c>
    </row>
    <row r="42" spans="1:4" x14ac:dyDescent="0.25">
      <c r="A42" s="1832"/>
      <c r="B42" s="1832"/>
    </row>
    <row r="43" spans="1:4" x14ac:dyDescent="0.25">
      <c r="A43" s="1832"/>
      <c r="B43" s="1832"/>
      <c r="D43" s="1823" t="s">
        <v>1145</v>
      </c>
    </row>
    <row r="44" spans="1:4" ht="18.75" x14ac:dyDescent="0.3">
      <c r="A44" s="1823" t="s">
        <v>1719</v>
      </c>
      <c r="B44" s="1823" t="s">
        <v>1160</v>
      </c>
      <c r="D44" s="1834" t="s">
        <v>581</v>
      </c>
    </row>
    <row r="45" spans="1:4" x14ac:dyDescent="0.25">
      <c r="A45" s="1823" t="s">
        <v>1720</v>
      </c>
      <c r="B45" s="1823" t="s">
        <v>1408</v>
      </c>
      <c r="D45" s="1823">
        <v>0</v>
      </c>
    </row>
    <row r="46" spans="1:4" x14ac:dyDescent="0.25">
      <c r="B46" s="1823" t="s">
        <v>1409</v>
      </c>
      <c r="D46" s="1823">
        <v>3</v>
      </c>
    </row>
    <row r="47" spans="1:4" x14ac:dyDescent="0.25">
      <c r="B47" s="1823" t="s">
        <v>1410</v>
      </c>
      <c r="D47" s="1823">
        <v>6</v>
      </c>
    </row>
    <row r="49" spans="1:4" x14ac:dyDescent="0.25">
      <c r="A49" s="1823" t="s">
        <v>1721</v>
      </c>
      <c r="B49" s="1823" t="s">
        <v>1160</v>
      </c>
      <c r="D49" s="1823">
        <v>0</v>
      </c>
    </row>
    <row r="50" spans="1:4" x14ac:dyDescent="0.25">
      <c r="A50" s="1823" t="s">
        <v>1722</v>
      </c>
      <c r="B50" s="1823" t="s">
        <v>1411</v>
      </c>
      <c r="D50" s="1823">
        <v>3</v>
      </c>
    </row>
    <row r="51" spans="1:4" x14ac:dyDescent="0.25">
      <c r="B51" s="1823" t="s">
        <v>1412</v>
      </c>
      <c r="D51" s="1823">
        <v>5</v>
      </c>
    </row>
    <row r="52" spans="1:4" x14ac:dyDescent="0.25">
      <c r="B52" s="1823" t="s">
        <v>1413</v>
      </c>
    </row>
    <row r="53" spans="1:4" x14ac:dyDescent="0.25">
      <c r="B53" s="1823" t="s">
        <v>1414</v>
      </c>
      <c r="D53" s="1823" t="s">
        <v>1537</v>
      </c>
    </row>
    <row r="54" spans="1:4" x14ac:dyDescent="0.25">
      <c r="B54" s="1823" t="s">
        <v>1415</v>
      </c>
      <c r="D54" s="1823" t="s">
        <v>1537</v>
      </c>
    </row>
    <row r="55" spans="1:4" x14ac:dyDescent="0.25">
      <c r="B55" s="1823" t="s">
        <v>1416</v>
      </c>
    </row>
    <row r="56" spans="1:4" x14ac:dyDescent="0.25">
      <c r="B56" s="1823" t="s">
        <v>1417</v>
      </c>
    </row>
    <row r="59" spans="1:4" x14ac:dyDescent="0.25">
      <c r="A59" s="1823" t="s">
        <v>1642</v>
      </c>
      <c r="B59" s="1823" t="s">
        <v>1528</v>
      </c>
    </row>
    <row r="60" spans="1:4" x14ac:dyDescent="0.25">
      <c r="B60" s="1823" t="s">
        <v>1529</v>
      </c>
    </row>
    <row r="61" spans="1:4" x14ac:dyDescent="0.25">
      <c r="B61" s="1823" t="s">
        <v>1530</v>
      </c>
    </row>
    <row r="62" spans="1:4" x14ac:dyDescent="0.25">
      <c r="B62" s="1823" t="s">
        <v>1531</v>
      </c>
    </row>
    <row r="63" spans="1:4" x14ac:dyDescent="0.25">
      <c r="B63" s="1823" t="s">
        <v>1532</v>
      </c>
    </row>
    <row r="64" spans="1:4" x14ac:dyDescent="0.25">
      <c r="B64" s="1823" t="s">
        <v>1182</v>
      </c>
    </row>
    <row r="65" spans="1:2" x14ac:dyDescent="0.25">
      <c r="A65" s="1832"/>
      <c r="B65" s="1832"/>
    </row>
    <row r="67" spans="1:2" x14ac:dyDescent="0.25">
      <c r="A67" s="1823" t="s">
        <v>1723</v>
      </c>
      <c r="B67" s="1823" t="s">
        <v>1160</v>
      </c>
    </row>
    <row r="68" spans="1:2" x14ac:dyDescent="0.25">
      <c r="A68" s="1823" t="s">
        <v>1724</v>
      </c>
      <c r="B68" s="1823" t="s">
        <v>1418</v>
      </c>
    </row>
    <row r="69" spans="1:2" x14ac:dyDescent="0.25">
      <c r="B69" s="1823" t="s">
        <v>1419</v>
      </c>
    </row>
    <row r="70" spans="1:2" x14ac:dyDescent="0.25">
      <c r="B70" s="1823" t="s">
        <v>1420</v>
      </c>
    </row>
    <row r="71" spans="1:2" x14ac:dyDescent="0.25">
      <c r="B71" s="1823" t="s">
        <v>1533</v>
      </c>
    </row>
    <row r="74" spans="1:2" x14ac:dyDescent="0.25">
      <c r="A74" s="1832" t="s">
        <v>1660</v>
      </c>
      <c r="B74" s="1823" t="s">
        <v>1160</v>
      </c>
    </row>
    <row r="75" spans="1:2" x14ac:dyDescent="0.25">
      <c r="A75" s="1832" t="s">
        <v>1741</v>
      </c>
      <c r="B75" s="1832" t="s">
        <v>1725</v>
      </c>
    </row>
    <row r="76" spans="1:2" x14ac:dyDescent="0.25">
      <c r="A76" s="1832"/>
      <c r="B76" s="1832" t="s">
        <v>1580</v>
      </c>
    </row>
    <row r="77" spans="1:2" x14ac:dyDescent="0.25">
      <c r="A77" s="1832"/>
      <c r="B77" s="1832"/>
    </row>
    <row r="78" spans="1:2" x14ac:dyDescent="0.25">
      <c r="A78" s="1832"/>
      <c r="B78" s="1832"/>
    </row>
    <row r="79" spans="1:2" x14ac:dyDescent="0.25">
      <c r="A79" s="1832" t="s">
        <v>1669</v>
      </c>
      <c r="B79" s="1823" t="s">
        <v>1160</v>
      </c>
    </row>
    <row r="80" spans="1:2" x14ac:dyDescent="0.25">
      <c r="A80" s="1832"/>
      <c r="B80" s="1832" t="s">
        <v>1534</v>
      </c>
    </row>
    <row r="81" spans="1:2" x14ac:dyDescent="0.25">
      <c r="A81" s="1832"/>
      <c r="B81" s="1832" t="s">
        <v>1535</v>
      </c>
    </row>
    <row r="84" spans="1:2" x14ac:dyDescent="0.25">
      <c r="A84" s="1823" t="s">
        <v>1726</v>
      </c>
      <c r="B84" s="1835">
        <v>0</v>
      </c>
    </row>
    <row r="85" spans="1:2" x14ac:dyDescent="0.25">
      <c r="B85" s="1835">
        <v>0.1</v>
      </c>
    </row>
    <row r="87" spans="1:2" x14ac:dyDescent="0.25">
      <c r="A87" s="1823" t="s">
        <v>1727</v>
      </c>
      <c r="B87" s="1835">
        <v>0</v>
      </c>
    </row>
    <row r="88" spans="1:2" x14ac:dyDescent="0.25">
      <c r="B88" s="1835">
        <v>0.3</v>
      </c>
    </row>
    <row r="89" spans="1:2" x14ac:dyDescent="0.25">
      <c r="B89" s="1835">
        <v>0.5</v>
      </c>
    </row>
    <row r="90" spans="1:2" x14ac:dyDescent="0.25">
      <c r="B90" s="1835">
        <v>0.7</v>
      </c>
    </row>
    <row r="91" spans="1:2" x14ac:dyDescent="0.25">
      <c r="B91" s="1835">
        <v>1</v>
      </c>
    </row>
    <row r="93" spans="1:2" x14ac:dyDescent="0.25">
      <c r="A93" s="1823" t="s">
        <v>1728</v>
      </c>
      <c r="B93" s="1835">
        <v>1</v>
      </c>
    </row>
    <row r="94" spans="1:2" x14ac:dyDescent="0.25">
      <c r="B94" s="1835">
        <v>0.9</v>
      </c>
    </row>
    <row r="95" spans="1:2" x14ac:dyDescent="0.25">
      <c r="B95" s="1835">
        <v>0.7</v>
      </c>
    </row>
    <row r="96" spans="1:2" x14ac:dyDescent="0.25">
      <c r="B96" s="1835">
        <v>0.5</v>
      </c>
    </row>
    <row r="97" spans="1:2" x14ac:dyDescent="0.25">
      <c r="B97" s="1835">
        <v>0.3</v>
      </c>
    </row>
    <row r="98" spans="1:2" x14ac:dyDescent="0.25">
      <c r="B98" s="1835">
        <v>0</v>
      </c>
    </row>
    <row r="100" spans="1:2" x14ac:dyDescent="0.25">
      <c r="A100" s="1823" t="s">
        <v>1729</v>
      </c>
      <c r="B100" s="1823" t="s">
        <v>1160</v>
      </c>
    </row>
    <row r="101" spans="1:2" x14ac:dyDescent="0.25">
      <c r="B101" s="1823" t="s">
        <v>1502</v>
      </c>
    </row>
    <row r="102" spans="1:2" x14ac:dyDescent="0.25">
      <c r="B102" s="1823" t="s">
        <v>1503</v>
      </c>
    </row>
    <row r="105" spans="1:2" x14ac:dyDescent="0.25">
      <c r="A105" s="1823" t="s">
        <v>1730</v>
      </c>
      <c r="B105" s="1823" t="s">
        <v>1160</v>
      </c>
    </row>
    <row r="106" spans="1:2" ht="90" x14ac:dyDescent="0.25">
      <c r="B106" s="2000" t="s">
        <v>1731</v>
      </c>
    </row>
    <row r="109" spans="1:2" ht="13.5" customHeight="1" x14ac:dyDescent="0.25"/>
    <row r="110" spans="1:2" ht="18.75" customHeight="1" x14ac:dyDescent="0.25"/>
    <row r="111" spans="1:2" ht="18" customHeight="1" x14ac:dyDescent="0.25"/>
    <row r="114" spans="1:2" x14ac:dyDescent="0.25">
      <c r="B114" s="2001" t="s">
        <v>1732</v>
      </c>
    </row>
    <row r="115" spans="1:2" x14ac:dyDescent="0.25">
      <c r="B115" s="2001" t="s">
        <v>1733</v>
      </c>
    </row>
    <row r="116" spans="1:2" x14ac:dyDescent="0.25">
      <c r="B116" s="2000" t="s">
        <v>1734</v>
      </c>
    </row>
    <row r="117" spans="1:2" x14ac:dyDescent="0.25">
      <c r="B117" s="2001" t="s">
        <v>1735</v>
      </c>
    </row>
    <row r="118" spans="1:2" x14ac:dyDescent="0.25">
      <c r="B118" s="2002" t="s">
        <v>1736</v>
      </c>
    </row>
    <row r="121" spans="1:2" x14ac:dyDescent="0.25">
      <c r="B121" s="1823" t="s">
        <v>1536</v>
      </c>
    </row>
    <row r="122" spans="1:2" x14ac:dyDescent="0.25">
      <c r="B122" s="1823">
        <v>4</v>
      </c>
    </row>
    <row r="123" spans="1:2" x14ac:dyDescent="0.25">
      <c r="B123" s="1823" t="s">
        <v>1536</v>
      </c>
    </row>
    <row r="124" spans="1:2" x14ac:dyDescent="0.25">
      <c r="B124" s="1823" t="s">
        <v>1160</v>
      </c>
    </row>
    <row r="125" spans="1:2" x14ac:dyDescent="0.25">
      <c r="A125" s="1823" t="s">
        <v>1737</v>
      </c>
      <c r="B125" s="1823" t="s">
        <v>1537</v>
      </c>
    </row>
    <row r="126" spans="1:2" x14ac:dyDescent="0.25">
      <c r="B126" s="1823" t="s">
        <v>1160</v>
      </c>
    </row>
    <row r="127" spans="1:2" x14ac:dyDescent="0.25">
      <c r="B127" s="1984" t="s">
        <v>1538</v>
      </c>
    </row>
  </sheetData>
  <dataConsolidate/>
  <pageMargins left="0.75" right="0.75" top="1" bottom="1" header="0.5" footer="0.5"/>
  <pageSetup scale="56"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2019 CFA Forms</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Props1.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2.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88124F-3F6E-46A5-ADA0-2AB11E915610}">
  <ds:schemaRefs>
    <ds:schemaRef ds:uri="http://schemas.microsoft.com/office/2006/documentManagement/types"/>
    <ds:schemaRef ds:uri="http://purl.org/dc/terms/"/>
    <ds:schemaRef ds:uri="63979cc8-f6b2-4ee6-8bed-630b6048d169"/>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59db5950-9a61-4c09-b3e2-fe6d472fba04"/>
    <ds:schemaRef ds:uri="http://schemas.microsoft.com/sharepoint/v3"/>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231</vt:i4>
      </vt:variant>
    </vt:vector>
  </HeadingPairs>
  <TitlesOfParts>
    <vt:vector size="270" baseType="lpstr">
      <vt:lpstr>Dropdowns</vt:lpstr>
      <vt:lpstr>ESDS-Reference Table</vt:lpstr>
      <vt:lpstr>ESDS-Lookup Table</vt:lpstr>
      <vt:lpstr>5 Default Check</vt:lpstr>
      <vt:lpstr>HTF_Insert</vt:lpstr>
      <vt:lpstr>Definitions</vt:lpstr>
      <vt:lpstr>Validations Checklist</vt:lpstr>
      <vt:lpstr>1</vt:lpstr>
      <vt:lpstr>2A</vt:lpstr>
      <vt:lpstr>2B</vt:lpstr>
      <vt:lpstr>2C</vt:lpstr>
      <vt:lpstr>3</vt:lpstr>
      <vt:lpstr>4</vt:lpstr>
      <vt:lpstr>5</vt:lpstr>
      <vt:lpstr>6A</vt:lpstr>
      <vt:lpstr>6B</vt:lpstr>
      <vt:lpstr>6C</vt:lpstr>
      <vt:lpstr>LIHTC Insert</vt:lpstr>
      <vt:lpstr>6D</vt:lpstr>
      <vt:lpstr>Tax_Credit_Numbers</vt:lpstr>
      <vt:lpstr>Calc Sheet Insert</vt:lpstr>
      <vt:lpstr>6E</vt:lpstr>
      <vt:lpstr>7A</vt:lpstr>
      <vt:lpstr>Resources Insert</vt:lpstr>
      <vt:lpstr>7B</vt:lpstr>
      <vt:lpstr>8A</vt:lpstr>
      <vt:lpstr>8B</vt:lpstr>
      <vt:lpstr>8C</vt:lpstr>
      <vt:lpstr>8D</vt:lpstr>
      <vt:lpstr>8E</vt:lpstr>
      <vt:lpstr>9A</vt:lpstr>
      <vt:lpstr>9B</vt:lpstr>
      <vt:lpstr>9C</vt:lpstr>
      <vt:lpstr>9D</vt:lpstr>
      <vt:lpstr>9E</vt:lpstr>
      <vt:lpstr>11A</vt:lpstr>
      <vt:lpstr>ScoringLists (9%)</vt:lpstr>
      <vt:lpstr>11B</vt:lpstr>
      <vt:lpstr>ScoringLists (4%)</vt:lpstr>
      <vt:lpstr>Act_Typ</vt:lpstr>
      <vt:lpstr>Activity_Type</vt:lpstr>
      <vt:lpstr>Actual_or_Percent</vt:lpstr>
      <vt:lpstr>AMIs</vt:lpstr>
      <vt:lpstr>Beds</vt:lpstr>
      <vt:lpstr>Building_ID_or_Name</vt:lpstr>
      <vt:lpstr>Building_Type</vt:lpstr>
      <vt:lpstr>credit_limits</vt:lpstr>
      <vt:lpstr>Debt_Type</vt:lpstr>
      <vt:lpstr>DevFees</vt:lpstr>
      <vt:lpstr>eligible_tribes</vt:lpstr>
      <vt:lpstr>Enable</vt:lpstr>
      <vt:lpstr>federal_funding_sources</vt:lpstr>
      <vt:lpstr>Fund_Source</vt:lpstr>
      <vt:lpstr>G_or_L</vt:lpstr>
      <vt:lpstr>Grant</vt:lpstr>
      <vt:lpstr>Grant_or_Loan</vt:lpstr>
      <vt:lpstr>GrantType</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Leveraging_Points</vt:lpstr>
      <vt:lpstr>LIH40percent_4percent</vt:lpstr>
      <vt:lpstr>LIH50percent_4percent</vt:lpstr>
      <vt:lpstr>LIH60percent_4percent</vt:lpstr>
      <vt:lpstr>Loan</vt:lpstr>
      <vt:lpstr>LoanType</vt:lpstr>
      <vt:lpstr>local_funding_counties</vt:lpstr>
      <vt:lpstr>local_funding_types</vt:lpstr>
      <vt:lpstr>location_eff</vt:lpstr>
      <vt:lpstr>Location_eff_4percent</vt:lpstr>
      <vt:lpstr>lower_income</vt:lpstr>
      <vt:lpstr>lower_income_4percent</vt:lpstr>
      <vt:lpstr>Non_LIH_Units</vt:lpstr>
      <vt:lpstr>NonRes_FundSource</vt:lpstr>
      <vt:lpstr>NPSponsor</vt:lpstr>
      <vt:lpstr>OnSite_OffSite</vt:lpstr>
      <vt:lpstr>OnTime_OnBudget</vt:lpstr>
      <vt:lpstr>PBRA_units</vt:lpstr>
      <vt:lpstr>Population_Types</vt:lpstr>
      <vt:lpstr>'1'!Print_Area</vt:lpstr>
      <vt:lpstr>'11A'!Print_Area</vt:lpstr>
      <vt:lpstr>'11B'!Print_Area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SpecNeeds20</vt:lpstr>
      <vt:lpstr>TDC_limit</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Years</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Whitney Goetter</cp:lastModifiedBy>
  <cp:lastPrinted>2019-03-27T18:20:37Z</cp:lastPrinted>
  <dcterms:created xsi:type="dcterms:W3CDTF">2015-05-06T15:11:33Z</dcterms:created>
  <dcterms:modified xsi:type="dcterms:W3CDTF">2019-08-23T19:21:37Z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