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GRAMS\General Program Resources\Needs Assessments\"/>
    </mc:Choice>
  </mc:AlternateContent>
  <xr:revisionPtr revIDLastSave="0" documentId="13_ncr:1_{7F213EAE-6679-4334-9CC7-E12B0DCE72F4}" xr6:coauthVersionLast="47" xr6:coauthVersionMax="47" xr10:uidLastSave="{00000000-0000-0000-0000-000000000000}"/>
  <workbookProtection workbookAlgorithmName="SHA-512" workbookHashValue="LucGpjDkjloBQgujx/SfR2d1KM8FUuX0b2y03gTmP0j+XTvBp0F7NzZd/BDi3OeKyQkfSbw+beyfCtli9qwtHA==" workbookSaltValue="eVXmRHQOTJ473S5nA4IEbA==" workbookSpinCount="100000" lockStructure="1"/>
  <bookViews>
    <workbookView xWindow="-120" yWindow="-120" windowWidth="29040" windowHeight="15840" xr2:uid="{AD96470C-53E7-4006-84CA-F406E887CEE7}"/>
  </bookViews>
  <sheets>
    <sheet name="NeedsAssessment" sheetId="1" r:id="rId1"/>
    <sheet name="DataSheet" sheetId="2" state="hidden" r:id="rId2"/>
  </sheets>
  <definedNames>
    <definedName name="DPA_Offered">NeedsAssessment!$B$77</definedName>
    <definedName name="DPA_Program_Limit">NeedsAssessment!$D$4</definedName>
    <definedName name="FlagTotal">NeedsAssessment!$C$78</definedName>
    <definedName name="Front_End_DTI">NeedsAssessment!$B$65</definedName>
    <definedName name="Lower_of_Two">NeedsAssessment!$B$60</definedName>
    <definedName name="Max_LTV">NeedsAssessment!$D$19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E13" i="2" s="1"/>
  <c r="C61" i="1"/>
  <c r="D13" i="2" s="1"/>
  <c r="C43" i="1"/>
  <c r="A88" i="1"/>
  <c r="B44" i="1"/>
  <c r="B66" i="1"/>
  <c r="D61" i="1"/>
  <c r="B2" i="1"/>
  <c r="C89" i="1"/>
  <c r="B45" i="1"/>
  <c r="E12" i="2"/>
  <c r="A82" i="1"/>
  <c r="E19" i="2"/>
  <c r="E16" i="2"/>
  <c r="E17" i="2"/>
  <c r="E15" i="2"/>
  <c r="E18" i="2"/>
  <c r="B38" i="1"/>
  <c r="B50" i="1"/>
  <c r="B56" i="1"/>
  <c r="B28" i="1"/>
  <c r="B65" i="1" s="1"/>
  <c r="C65" i="1" s="1"/>
  <c r="B14" i="1"/>
  <c r="B70" i="1" s="1"/>
  <c r="D4" i="1"/>
  <c r="D19" i="1"/>
  <c r="B60" i="1" l="1"/>
  <c r="A86" i="1"/>
  <c r="D65" i="1"/>
  <c r="B52" i="1"/>
  <c r="A85" i="1"/>
  <c r="C58" i="1"/>
  <c r="B69" i="1"/>
  <c r="B71" i="1"/>
  <c r="B72" i="1" s="1"/>
  <c r="B67" i="1" l="1"/>
  <c r="C67" i="1" s="1"/>
  <c r="D67" i="1" s="1"/>
  <c r="B68" i="1"/>
  <c r="C69" i="1" s="1"/>
  <c r="C78" i="1" l="1"/>
  <c r="A87" i="1"/>
  <c r="B84" i="1" s="1"/>
  <c r="D69" i="1"/>
  <c r="B73" i="1"/>
  <c r="B77" i="1" l="1"/>
  <c r="A81" i="1" s="1"/>
</calcChain>
</file>

<file path=xl/sharedStrings.xml><?xml version="1.0" encoding="utf-8"?>
<sst xmlns="http://schemas.openxmlformats.org/spreadsheetml/2006/main" count="104" uniqueCount="90">
  <si>
    <t>Borrower Name</t>
  </si>
  <si>
    <t>WSHFC Loan #</t>
  </si>
  <si>
    <t>First Mortgage Type</t>
  </si>
  <si>
    <t>FirstMtgType</t>
  </si>
  <si>
    <t>FHA</t>
  </si>
  <si>
    <t>USDA</t>
  </si>
  <si>
    <t>HUD 184</t>
  </si>
  <si>
    <t>VA</t>
  </si>
  <si>
    <t>&lt;Please Select&gt;</t>
  </si>
  <si>
    <t>DPA Program</t>
  </si>
  <si>
    <t>Veterans</t>
  </si>
  <si>
    <t>HomeChoice</t>
  </si>
  <si>
    <t>Bellingham</t>
  </si>
  <si>
    <t>East King County (ARCH)</t>
  </si>
  <si>
    <t>Mortgage Insurance</t>
  </si>
  <si>
    <t>Front-End DTI</t>
  </si>
  <si>
    <t>Sales Price</t>
  </si>
  <si>
    <t>Appraised Value</t>
  </si>
  <si>
    <t>Max LTV</t>
  </si>
  <si>
    <t>Max Loan Amount</t>
  </si>
  <si>
    <t>DPA Program Limit</t>
  </si>
  <si>
    <t>Total Housing Payment</t>
  </si>
  <si>
    <t>A. Sales Contract Price</t>
  </si>
  <si>
    <t>H. TOTAL DUE FROM BORROWER(s)</t>
  </si>
  <si>
    <t>DUE FROM BORROWERS</t>
  </si>
  <si>
    <t>TOTAL MORTGAGE LOANS</t>
  </si>
  <si>
    <t>N. TOTAL CREDITS (Total of L and M)</t>
  </si>
  <si>
    <t>CALCULATION</t>
  </si>
  <si>
    <t>Cash From/To the Borrower (Line H minus Line K and Line N)</t>
  </si>
  <si>
    <t>First Mortgage (P&amp;I)</t>
  </si>
  <si>
    <t>Subordinate Lien(s) (P&amp;I)</t>
  </si>
  <si>
    <t>Home Owner's insurance</t>
  </si>
  <si>
    <t>Property Taxes</t>
  </si>
  <si>
    <t>Association/Project Dues</t>
  </si>
  <si>
    <t>Per Loan Transmittal</t>
  </si>
  <si>
    <t>2b. Earnest Money</t>
  </si>
  <si>
    <t>4d. Gifts not Deposited</t>
  </si>
  <si>
    <t>Total Included Assets</t>
  </si>
  <si>
    <t>URLA - L3. Mortgage Loan Information</t>
  </si>
  <si>
    <t>URLA - L4. Qualifying the Borrower</t>
  </si>
  <si>
    <t xml:space="preserve">L. Seller Credits </t>
  </si>
  <si>
    <t xml:space="preserve">M. Other Credits </t>
  </si>
  <si>
    <t xml:space="preserve">J. Other New Mortgage Loans </t>
  </si>
  <si>
    <t>Assets</t>
  </si>
  <si>
    <t>MinCon%</t>
  </si>
  <si>
    <t>MinCon$</t>
  </si>
  <si>
    <t>MinConThisLoan</t>
  </si>
  <si>
    <t>Max Cash Allowed Post-Close</t>
  </si>
  <si>
    <t>DTI Under 25% OK</t>
  </si>
  <si>
    <t>SOFT</t>
  </si>
  <si>
    <t>HARD</t>
  </si>
  <si>
    <t>Summary and Findings</t>
  </si>
  <si>
    <t>1st Mortgage Base Amount</t>
  </si>
  <si>
    <t>B. Improvements and Repairs</t>
  </si>
  <si>
    <t>Max DPA Allowed</t>
  </si>
  <si>
    <t>Minimum Program Contribution</t>
  </si>
  <si>
    <t>Asset Overage</t>
  </si>
  <si>
    <t>Cash From Borrower Above</t>
  </si>
  <si>
    <t>Adjusted Cash From Borrower</t>
  </si>
  <si>
    <t>Requirements:</t>
  </si>
  <si>
    <t>Date</t>
  </si>
  <si>
    <t>Recommendations:</t>
  </si>
  <si>
    <t>Supplemental Property Insurance</t>
  </si>
  <si>
    <t>3- N/A</t>
  </si>
  <si>
    <t>K. TOTAL MORTGAGE LOANS (I+J)</t>
  </si>
  <si>
    <t>URLA - Section 2:  Assets</t>
  </si>
  <si>
    <t>Please use most recent Loan Application to Complete this form - only use current info.</t>
  </si>
  <si>
    <t>Conv. With Non-Occupant CB</t>
  </si>
  <si>
    <t>Conv. Manu Home (not MH Advantage)</t>
  </si>
  <si>
    <t>Conventional</t>
  </si>
  <si>
    <t>Total Additional DPAs (3rd, 4th, etc.)</t>
  </si>
  <si>
    <t>2a. Balance in Checking (All)</t>
  </si>
  <si>
    <t>2a. Balance in Savings(All)</t>
  </si>
  <si>
    <t>Base 1st Mtg Loan Amount (Exclude Financed MI)</t>
  </si>
  <si>
    <t>Max Base 1st Mortgage (Per max LTV)</t>
  </si>
  <si>
    <t>Underwriter Signature</t>
  </si>
  <si>
    <t>Earnest Money (if not listed in Assets)</t>
  </si>
  <si>
    <t>2nd Mtg Closing Costs</t>
  </si>
  <si>
    <t>3rd, 4th + Mtg Closing Cost</t>
  </si>
  <si>
    <t>Finance UFMIP or VA Funding Fee</t>
  </si>
  <si>
    <t xml:space="preserve">Notes: </t>
  </si>
  <si>
    <t>Clark County DPA</t>
  </si>
  <si>
    <t>Total Monthly Application Income</t>
  </si>
  <si>
    <t>1st Mtg Closing Costs + Prepaid (No UFMIP/VA Funding Fee) + Line G Discount Points</t>
  </si>
  <si>
    <t>Is property in a Community Land Trust?</t>
  </si>
  <si>
    <t>Value Used</t>
  </si>
  <si>
    <t>HK Opportunity</t>
  </si>
  <si>
    <t>HA Needs Based</t>
  </si>
  <si>
    <t>Sweat Equity Borrower</t>
  </si>
  <si>
    <t>Version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</si>
</sst>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i/>
      <sz val="11"/>
      <color theme="4" tint="0.59999389629810485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Informal Roman"/>
      <family val="4"/>
    </font>
    <font>
      <sz val="11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0" fillId="0" borderId="0" xfId="0" applyNumberFormat="1"/>
    <xf numFmtId="164" fontId="0" fillId="2" borderId="0" xfId="1" applyNumberFormat="1" applyFont="1" applyFill="1"/>
    <xf numFmtId="44" fontId="0" fillId="2" borderId="0" xfId="2" applyFont="1" applyFill="1"/>
    <xf numFmtId="165" fontId="0" fillId="2" borderId="0" xfId="2" applyNumberFormat="1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164" fontId="0" fillId="0" borderId="0" xfId="1" applyNumberFormat="1" applyFont="1"/>
    <xf numFmtId="165" fontId="0" fillId="2" borderId="0" xfId="0" applyNumberFormat="1" applyFill="1"/>
    <xf numFmtId="164" fontId="0" fillId="0" borderId="0" xfId="0" applyNumberFormat="1"/>
    <xf numFmtId="165" fontId="0" fillId="2" borderId="0" xfId="1" applyNumberFormat="1" applyFont="1" applyFill="1"/>
    <xf numFmtId="10" fontId="2" fillId="2" borderId="0" xfId="1" applyNumberFormat="1" applyFont="1" applyFill="1"/>
    <xf numFmtId="165" fontId="6" fillId="2" borderId="0" xfId="2" applyNumberFormat="1" applyFont="1" applyFill="1"/>
    <xf numFmtId="165" fontId="2" fillId="2" borderId="0" xfId="2" applyNumberFormat="1" applyFont="1" applyFill="1"/>
    <xf numFmtId="165" fontId="2" fillId="2" borderId="0" xfId="0" applyNumberFormat="1" applyFont="1" applyFill="1"/>
    <xf numFmtId="0" fontId="0" fillId="3" borderId="0" xfId="0" applyFill="1" applyProtection="1">
      <protection locked="0"/>
    </xf>
    <xf numFmtId="44" fontId="0" fillId="3" borderId="0" xfId="2" applyFont="1" applyFill="1" applyProtection="1">
      <protection locked="0"/>
    </xf>
    <xf numFmtId="165" fontId="0" fillId="3" borderId="0" xfId="2" applyNumberFormat="1" applyFont="1" applyFill="1" applyProtection="1">
      <protection locked="0"/>
    </xf>
    <xf numFmtId="0" fontId="0" fillId="2" borderId="0" xfId="0" applyFill="1" applyAlignment="1">
      <alignment horizontal="right"/>
    </xf>
    <xf numFmtId="44" fontId="0" fillId="2" borderId="0" xfId="2" applyFont="1" applyFill="1" applyProtection="1"/>
    <xf numFmtId="0" fontId="8" fillId="2" borderId="0" xfId="0" applyFont="1" applyFill="1"/>
    <xf numFmtId="6" fontId="0" fillId="3" borderId="0" xfId="0" applyNumberFormat="1" applyFill="1" applyProtection="1">
      <protection locked="0"/>
    </xf>
    <xf numFmtId="0" fontId="9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0" fillId="2" borderId="4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4" fontId="0" fillId="2" borderId="0" xfId="0" applyNumberFormat="1" applyFill="1"/>
    <xf numFmtId="0" fontId="0" fillId="3" borderId="0" xfId="2" applyNumberFormat="1" applyFont="1" applyFill="1" applyProtection="1">
      <protection locked="0"/>
    </xf>
    <xf numFmtId="2" fontId="9" fillId="2" borderId="0" xfId="0" applyNumberFormat="1" applyFont="1" applyFill="1"/>
    <xf numFmtId="165" fontId="9" fillId="2" borderId="0" xfId="2" applyNumberFormat="1" applyFont="1" applyFill="1"/>
    <xf numFmtId="0" fontId="14" fillId="2" borderId="0" xfId="0" applyFont="1" applyFill="1"/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14" fontId="0" fillId="2" borderId="0" xfId="0" applyNumberForma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7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/>
      <protection locked="0"/>
    </xf>
  </cellXfs>
  <cellStyles count="3">
    <cellStyle name="Currency" xfId="2" builtinId="4"/>
    <cellStyle name="Normal" xfId="0" builtinId="0"/>
    <cellStyle name="Percent" xfId="1" builtinId="5"/>
  </cellStyles>
  <dxfs count="2">
    <dxf>
      <numFmt numFmtId="0" formatCode="General"/>
    </dxf>
    <dxf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93194A-4BBC-41AE-A3CF-5616FDAA2D4D}" name="FirstTble" displayName="FirstTble" ref="A1:B9" totalsRowShown="0">
  <autoFilter ref="A1:B9" xr:uid="{DA93194A-4BBC-41AE-A3CF-5616FDAA2D4D}"/>
  <sortState xmlns:xlrd2="http://schemas.microsoft.com/office/spreadsheetml/2017/richdata2" ref="A2:B9">
    <sortCondition ref="A1:A9"/>
  </sortState>
  <tableColumns count="2">
    <tableColumn id="1" xr3:uid="{42060958-5E59-4B49-AFB0-B8EE7E65C75C}" name="FirstMtgType"/>
    <tableColumn id="2" xr3:uid="{E9470D8E-608C-45D0-B152-9EA7B3DBCEFB}" name="Max LTV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D0D414-7299-405E-99B9-81A8A3589F28}" name="DPA_Tbl" displayName="DPA_Tbl" ref="A11:F19" totalsRowShown="0">
  <autoFilter ref="A11:F19" xr:uid="{08D0D414-7299-405E-99B9-81A8A3589F28}"/>
  <sortState xmlns:xlrd2="http://schemas.microsoft.com/office/spreadsheetml/2017/richdata2" ref="A12:F21">
    <sortCondition ref="A11:A21"/>
  </sortState>
  <tableColumns count="6">
    <tableColumn id="1" xr3:uid="{4B287CE6-3B34-4980-9AA6-0356D6B358EE}" name="DPA Program"/>
    <tableColumn id="2" xr3:uid="{C9AE680E-FA7E-49DC-8A4A-32976362E0FA}" name="Max Loan Amount"/>
    <tableColumn id="3" xr3:uid="{60630E39-7CE4-4B2E-894A-09092E78B5F6}" name="MinCon%" dataDxfId="1" dataCellStyle="Percent"/>
    <tableColumn id="4" xr3:uid="{349D101C-3083-4677-B349-C2DD44018F1B}" name="MinCon$"/>
    <tableColumn id="5" xr3:uid="{C6333CBC-4413-4378-89AF-0DCE5FA50FAB}" name="MinConThisLoan" dataDxfId="0">
      <calculatedColumnFormula>MAX(NeedsAssessment!$B$33*DPA_Tbl[[#This Row],[MinCon%]],DPA_Tbl[[#This Row],[MinCon$]])</calculatedColumnFormula>
    </tableColumn>
    <tableColumn id="6" xr3:uid="{8C3A049F-C263-4D5D-8C4F-425CD7760B9A}" name="DTI Under 25% OK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B1D4-1C91-4ECF-9296-0C56ECEE74D9}">
  <sheetPr>
    <pageSetUpPr fitToPage="1"/>
  </sheetPr>
  <dimension ref="A1:D128"/>
  <sheetViews>
    <sheetView tabSelected="1" zoomScale="145" zoomScaleNormal="145" workbookViewId="0">
      <selection activeCell="B3" sqref="B3"/>
    </sheetView>
  </sheetViews>
  <sheetFormatPr defaultColWidth="0" defaultRowHeight="15" x14ac:dyDescent="0.25"/>
  <cols>
    <col min="1" max="1" width="43.5703125" style="1" customWidth="1"/>
    <col min="2" max="2" width="14.85546875" style="1" customWidth="1"/>
    <col min="3" max="3" width="17.140625" style="1" customWidth="1"/>
    <col min="4" max="4" width="18.28515625" style="1" customWidth="1"/>
    <col min="5" max="16384" width="9.140625" style="1" hidden="1"/>
  </cols>
  <sheetData>
    <row r="1" spans="1:4" x14ac:dyDescent="0.25">
      <c r="A1" s="1" t="s">
        <v>0</v>
      </c>
      <c r="B1" s="18"/>
      <c r="C1" s="41" t="s">
        <v>89</v>
      </c>
      <c r="D1" s="41"/>
    </row>
    <row r="2" spans="1:4" x14ac:dyDescent="0.25">
      <c r="A2" s="1" t="s">
        <v>60</v>
      </c>
      <c r="B2" s="33">
        <f ca="1">NOW()</f>
        <v>45205.557384259257</v>
      </c>
    </row>
    <row r="3" spans="1:4" x14ac:dyDescent="0.25">
      <c r="A3" s="1" t="s">
        <v>1</v>
      </c>
      <c r="B3" s="18"/>
      <c r="D3" s="1" t="s">
        <v>20</v>
      </c>
    </row>
    <row r="4" spans="1:4" x14ac:dyDescent="0.25">
      <c r="A4" s="1" t="s">
        <v>9</v>
      </c>
      <c r="B4" s="18" t="s">
        <v>8</v>
      </c>
      <c r="D4" s="5">
        <f>VLOOKUP(B4,DPA_Tbl[#All],2,FALSE)</f>
        <v>0</v>
      </c>
    </row>
    <row r="5" spans="1:4" x14ac:dyDescent="0.25">
      <c r="A5" s="52" t="s">
        <v>66</v>
      </c>
      <c r="B5" s="52"/>
      <c r="C5" s="52"/>
      <c r="D5" s="52"/>
    </row>
    <row r="6" spans="1:4" x14ac:dyDescent="0.25">
      <c r="A6" s="52"/>
      <c r="B6" s="52"/>
      <c r="C6" s="52"/>
      <c r="D6" s="52"/>
    </row>
    <row r="7" spans="1:4" x14ac:dyDescent="0.25">
      <c r="A7" s="1" t="s">
        <v>82</v>
      </c>
      <c r="B7" s="24"/>
      <c r="C7" s="6" t="s">
        <v>34</v>
      </c>
    </row>
    <row r="8" spans="1:4" x14ac:dyDescent="0.25">
      <c r="A8" s="50" t="s">
        <v>65</v>
      </c>
      <c r="B8" s="50"/>
      <c r="C8" s="50"/>
      <c r="D8" s="50"/>
    </row>
    <row r="9" spans="1:4" x14ac:dyDescent="0.25">
      <c r="A9" s="51"/>
      <c r="B9" s="51"/>
      <c r="C9" s="51"/>
      <c r="D9" s="51"/>
    </row>
    <row r="10" spans="1:4" x14ac:dyDescent="0.25">
      <c r="A10" s="1" t="s">
        <v>71</v>
      </c>
      <c r="B10" s="19"/>
    </row>
    <row r="11" spans="1:4" x14ac:dyDescent="0.25">
      <c r="A11" s="1" t="s">
        <v>72</v>
      </c>
      <c r="B11" s="19">
        <v>0</v>
      </c>
    </row>
    <row r="12" spans="1:4" x14ac:dyDescent="0.25">
      <c r="A12" s="1" t="s">
        <v>35</v>
      </c>
      <c r="B12" s="19">
        <v>0</v>
      </c>
    </row>
    <row r="13" spans="1:4" x14ac:dyDescent="0.25">
      <c r="A13" s="1" t="s">
        <v>36</v>
      </c>
      <c r="B13" s="19">
        <v>0</v>
      </c>
    </row>
    <row r="14" spans="1:4" x14ac:dyDescent="0.25">
      <c r="A14" s="1" t="s">
        <v>37</v>
      </c>
      <c r="B14" s="4">
        <f>SUM(B10:B13)</f>
        <v>0</v>
      </c>
    </row>
    <row r="16" spans="1:4" x14ac:dyDescent="0.25">
      <c r="A16" s="50" t="s">
        <v>38</v>
      </c>
      <c r="B16" s="50"/>
      <c r="C16" s="50"/>
      <c r="D16" s="50"/>
    </row>
    <row r="17" spans="1:4" x14ac:dyDescent="0.25">
      <c r="A17" s="51"/>
      <c r="B17" s="51"/>
      <c r="C17" s="51"/>
      <c r="D17" s="51"/>
    </row>
    <row r="18" spans="1:4" x14ac:dyDescent="0.25">
      <c r="D18" s="21" t="s">
        <v>18</v>
      </c>
    </row>
    <row r="19" spans="1:4" x14ac:dyDescent="0.25">
      <c r="A19" s="1" t="s">
        <v>2</v>
      </c>
      <c r="B19" s="54" t="s">
        <v>8</v>
      </c>
      <c r="C19" s="54"/>
      <c r="D19" s="3">
        <f>VLOOKUP(B19,FirstTble[#All],2,FALSE)</f>
        <v>0</v>
      </c>
    </row>
    <row r="20" spans="1:4" x14ac:dyDescent="0.25">
      <c r="A20" s="6"/>
    </row>
    <row r="21" spans="1:4" x14ac:dyDescent="0.25">
      <c r="A21" s="1" t="s">
        <v>29</v>
      </c>
      <c r="B21" s="19"/>
    </row>
    <row r="22" spans="1:4" x14ac:dyDescent="0.25">
      <c r="A22" s="1" t="s">
        <v>30</v>
      </c>
      <c r="B22" s="19"/>
    </row>
    <row r="23" spans="1:4" x14ac:dyDescent="0.25">
      <c r="A23" s="1" t="s">
        <v>31</v>
      </c>
      <c r="B23" s="19"/>
    </row>
    <row r="24" spans="1:4" x14ac:dyDescent="0.25">
      <c r="A24" s="1" t="s">
        <v>62</v>
      </c>
      <c r="B24" s="19"/>
    </row>
    <row r="25" spans="1:4" x14ac:dyDescent="0.25">
      <c r="A25" s="1" t="s">
        <v>32</v>
      </c>
      <c r="B25" s="19"/>
    </row>
    <row r="26" spans="1:4" x14ac:dyDescent="0.25">
      <c r="A26" s="1" t="s">
        <v>14</v>
      </c>
      <c r="B26" s="19"/>
    </row>
    <row r="27" spans="1:4" x14ac:dyDescent="0.25">
      <c r="A27" s="1" t="s">
        <v>33</v>
      </c>
      <c r="B27" s="19"/>
    </row>
    <row r="28" spans="1:4" x14ac:dyDescent="0.25">
      <c r="A28" s="7" t="s">
        <v>21</v>
      </c>
      <c r="B28" s="22">
        <f>SUM(B21:B27)</f>
        <v>0</v>
      </c>
    </row>
    <row r="30" spans="1:4" x14ac:dyDescent="0.25">
      <c r="A30" s="50" t="s">
        <v>39</v>
      </c>
      <c r="B30" s="50"/>
      <c r="C30" s="50"/>
      <c r="D30" s="50"/>
    </row>
    <row r="31" spans="1:4" x14ac:dyDescent="0.25">
      <c r="A31" s="51"/>
      <c r="B31" s="51"/>
      <c r="C31" s="51"/>
      <c r="D31" s="51"/>
    </row>
    <row r="32" spans="1:4" x14ac:dyDescent="0.25">
      <c r="A32" s="7" t="s">
        <v>24</v>
      </c>
    </row>
    <row r="33" spans="1:3" ht="15" customHeight="1" x14ac:dyDescent="0.25">
      <c r="A33" s="1" t="s">
        <v>22</v>
      </c>
      <c r="B33" s="20"/>
    </row>
    <row r="34" spans="1:3" ht="15" customHeight="1" x14ac:dyDescent="0.25">
      <c r="A34" s="1" t="s">
        <v>53</v>
      </c>
      <c r="B34" s="19"/>
      <c r="C34" s="23"/>
    </row>
    <row r="35" spans="1:3" ht="29.25" customHeight="1" x14ac:dyDescent="0.25">
      <c r="A35" s="27" t="s">
        <v>83</v>
      </c>
      <c r="B35" s="19"/>
    </row>
    <row r="36" spans="1:3" x14ac:dyDescent="0.25">
      <c r="A36" s="27" t="s">
        <v>77</v>
      </c>
      <c r="B36" s="19"/>
    </row>
    <row r="37" spans="1:3" x14ac:dyDescent="0.25">
      <c r="A37" s="28" t="s">
        <v>78</v>
      </c>
      <c r="B37" s="19"/>
    </row>
    <row r="38" spans="1:3" x14ac:dyDescent="0.25">
      <c r="A38" s="7" t="s">
        <v>23</v>
      </c>
      <c r="B38" s="4">
        <f>SUM(B33:B37)</f>
        <v>0</v>
      </c>
    </row>
    <row r="39" spans="1:3" x14ac:dyDescent="0.25">
      <c r="B39" s="4"/>
    </row>
    <row r="40" spans="1:3" x14ac:dyDescent="0.25">
      <c r="A40" s="7" t="s">
        <v>25</v>
      </c>
      <c r="B40" s="4"/>
    </row>
    <row r="41" spans="1:3" ht="15" customHeight="1" x14ac:dyDescent="0.25">
      <c r="A41" s="1" t="s">
        <v>73</v>
      </c>
      <c r="B41" s="20"/>
    </row>
    <row r="42" spans="1:3" ht="15" customHeight="1" x14ac:dyDescent="0.25">
      <c r="A42" s="28" t="s">
        <v>79</v>
      </c>
      <c r="B42" s="20"/>
    </row>
    <row r="43" spans="1:3" hidden="1" x14ac:dyDescent="0.25">
      <c r="A43" s="1" t="s">
        <v>42</v>
      </c>
      <c r="B43" s="20"/>
      <c r="C43" s="7" t="str">
        <f>IF(B43&lt;&gt; 0," &lt;Do not include this DPA Loan","")</f>
        <v/>
      </c>
    </row>
    <row r="44" spans="1:3" x14ac:dyDescent="0.25">
      <c r="A44" s="7" t="s">
        <v>64</v>
      </c>
      <c r="B44" s="5">
        <f>SUM(B41:B43)</f>
        <v>0</v>
      </c>
      <c r="C44" s="7"/>
    </row>
    <row r="45" spans="1:3" x14ac:dyDescent="0.25">
      <c r="A45" s="37" t="s">
        <v>64</v>
      </c>
      <c r="B45" s="36">
        <f>SUM(B41)</f>
        <v>0</v>
      </c>
    </row>
    <row r="46" spans="1:3" x14ac:dyDescent="0.25">
      <c r="A46" s="1" t="s">
        <v>40</v>
      </c>
      <c r="B46" s="20"/>
    </row>
    <row r="47" spans="1:3" x14ac:dyDescent="0.25">
      <c r="A47" s="1" t="s">
        <v>70</v>
      </c>
      <c r="B47" s="20"/>
    </row>
    <row r="48" spans="1:3" x14ac:dyDescent="0.25">
      <c r="A48" s="28" t="s">
        <v>76</v>
      </c>
      <c r="B48" s="20"/>
    </row>
    <row r="49" spans="1:4" x14ac:dyDescent="0.25">
      <c r="A49" s="8" t="s">
        <v>41</v>
      </c>
      <c r="B49" s="20"/>
    </row>
    <row r="50" spans="1:4" ht="29.25" customHeight="1" x14ac:dyDescent="0.25">
      <c r="A50" s="7" t="s">
        <v>26</v>
      </c>
      <c r="B50" s="5">
        <f>SUM(B46:B49)</f>
        <v>0</v>
      </c>
    </row>
    <row r="51" spans="1:4" x14ac:dyDescent="0.25">
      <c r="A51" s="7" t="s">
        <v>27</v>
      </c>
      <c r="B51" s="5"/>
    </row>
    <row r="52" spans="1:4" ht="30" x14ac:dyDescent="0.25">
      <c r="A52" s="9" t="s">
        <v>28</v>
      </c>
      <c r="B52" s="5">
        <f>ROUNDDOWN(SUM(B38-B45-B50),0)</f>
        <v>0</v>
      </c>
    </row>
    <row r="54" spans="1:4" x14ac:dyDescent="0.25">
      <c r="A54" s="50" t="s">
        <v>17</v>
      </c>
      <c r="B54" s="50"/>
      <c r="C54" s="50"/>
      <c r="D54" s="50"/>
    </row>
    <row r="55" spans="1:4" x14ac:dyDescent="0.25">
      <c r="A55" s="51"/>
      <c r="B55" s="51"/>
      <c r="C55" s="51"/>
      <c r="D55" s="51"/>
    </row>
    <row r="56" spans="1:4" x14ac:dyDescent="0.25">
      <c r="A56" s="1" t="s">
        <v>16</v>
      </c>
      <c r="B56" s="5">
        <f>B33</f>
        <v>0</v>
      </c>
      <c r="D56" s="25" t="b">
        <v>1</v>
      </c>
    </row>
    <row r="57" spans="1:4" x14ac:dyDescent="0.25">
      <c r="A57" s="1" t="s">
        <v>17</v>
      </c>
      <c r="B57" s="20"/>
      <c r="D57" s="25" t="b">
        <v>0</v>
      </c>
    </row>
    <row r="58" spans="1:4" x14ac:dyDescent="0.25">
      <c r="A58" s="1" t="s">
        <v>84</v>
      </c>
      <c r="B58" s="34" t="b">
        <v>0</v>
      </c>
      <c r="C58" s="53" t="str">
        <f>IF(B56&gt;B57,"Max LTV is based on the lower of Sales Price or Appraised Value","")</f>
        <v/>
      </c>
      <c r="D58" s="53"/>
    </row>
    <row r="59" spans="1:4" x14ac:dyDescent="0.25">
      <c r="A59" s="1" t="s">
        <v>88</v>
      </c>
      <c r="B59" s="34" t="b">
        <v>0</v>
      </c>
      <c r="C59" s="53"/>
      <c r="D59" s="53"/>
    </row>
    <row r="60" spans="1:4" x14ac:dyDescent="0.25">
      <c r="A60" s="1" t="s">
        <v>85</v>
      </c>
      <c r="B60" s="11">
        <f>MAX(D61,MIN(B56:B57))</f>
        <v>0</v>
      </c>
      <c r="C60" s="53"/>
      <c r="D60" s="53"/>
    </row>
    <row r="61" spans="1:4" x14ac:dyDescent="0.25">
      <c r="C61" s="1">
        <f>IF(AND(B59=TRUE,B4="Bellingham"),0,1)</f>
        <v>1</v>
      </c>
      <c r="D61" s="35">
        <f>B58*B57</f>
        <v>0</v>
      </c>
    </row>
    <row r="62" spans="1:4" x14ac:dyDescent="0.25">
      <c r="A62" s="50" t="s">
        <v>51</v>
      </c>
      <c r="B62" s="50"/>
      <c r="C62" s="50"/>
      <c r="D62" s="50"/>
    </row>
    <row r="63" spans="1:4" x14ac:dyDescent="0.25">
      <c r="A63" s="51"/>
      <c r="B63" s="51"/>
      <c r="C63" s="51"/>
      <c r="D63" s="51"/>
    </row>
    <row r="65" spans="1:4" x14ac:dyDescent="0.25">
      <c r="A65" s="1" t="s">
        <v>15</v>
      </c>
      <c r="B65" s="14" t="str">
        <f>IFERROR(SUM(B28/B7),"Need DTI Info")</f>
        <v>Need DTI Info</v>
      </c>
      <c r="C65" s="26">
        <f>IF(OR(Front_End_DTI&gt;=0.25,VLOOKUP($B$4,DPA_Tbl[#All],6,FALSE)="SOFT"),1,0)</f>
        <v>1</v>
      </c>
      <c r="D65" s="1" t="str">
        <f>IF(C65=1,"Pass","Check Requirements Below")</f>
        <v>Pass</v>
      </c>
    </row>
    <row r="66" spans="1:4" x14ac:dyDescent="0.25">
      <c r="A66" s="1" t="s">
        <v>52</v>
      </c>
      <c r="B66" s="13">
        <f>B41</f>
        <v>0</v>
      </c>
      <c r="C66" s="25"/>
    </row>
    <row r="67" spans="1:4" x14ac:dyDescent="0.25">
      <c r="A67" s="6" t="s">
        <v>74</v>
      </c>
      <c r="B67" s="15">
        <f>ROUNDDOWN(Lower_of_Two*Max_LTV,0)</f>
        <v>0</v>
      </c>
      <c r="C67" s="26">
        <f>IF(B41&lt;=B67,1,0)</f>
        <v>1</v>
      </c>
      <c r="D67" s="1" t="str">
        <f>IF(C67=1,"Pass","Fail")</f>
        <v>Pass</v>
      </c>
    </row>
    <row r="68" spans="1:4" x14ac:dyDescent="0.25">
      <c r="A68" s="1" t="s">
        <v>57</v>
      </c>
      <c r="B68" s="5">
        <f>B52</f>
        <v>0</v>
      </c>
      <c r="C68" s="25"/>
    </row>
    <row r="69" spans="1:4" x14ac:dyDescent="0.25">
      <c r="A69" s="1" t="s">
        <v>55</v>
      </c>
      <c r="B69" s="16">
        <f>VLOOKUP(B4,DPA_Tbl[#All],5,FALSE)</f>
        <v>0</v>
      </c>
      <c r="C69" s="26">
        <f>IF(B68&gt;B69,1,0)</f>
        <v>0</v>
      </c>
      <c r="D69" s="1" t="str">
        <f>IF(C69=1,"Pass","Fail")</f>
        <v>Fail</v>
      </c>
    </row>
    <row r="70" spans="1:4" x14ac:dyDescent="0.25">
      <c r="A70" s="1" t="s">
        <v>43</v>
      </c>
      <c r="B70" s="5">
        <f>B14</f>
        <v>0</v>
      </c>
      <c r="C70" s="25"/>
    </row>
    <row r="71" spans="1:4" x14ac:dyDescent="0.25">
      <c r="A71" s="1" t="s">
        <v>47</v>
      </c>
      <c r="B71" s="5">
        <f>MAX(10000,SUM(6*B28))</f>
        <v>10000</v>
      </c>
      <c r="C71" s="25"/>
    </row>
    <row r="72" spans="1:4" x14ac:dyDescent="0.25">
      <c r="A72" s="1" t="s">
        <v>56</v>
      </c>
      <c r="B72" s="11">
        <f>MAX(0,B70-B71)</f>
        <v>0</v>
      </c>
      <c r="C72" s="25"/>
    </row>
    <row r="73" spans="1:4" x14ac:dyDescent="0.25">
      <c r="A73" s="1" t="s">
        <v>58</v>
      </c>
      <c r="B73" s="11">
        <f>B68-MAX(B72,B69)</f>
        <v>0</v>
      </c>
      <c r="C73" s="25"/>
    </row>
    <row r="74" spans="1:4" x14ac:dyDescent="0.25">
      <c r="B74" s="17"/>
      <c r="C74" s="26"/>
    </row>
    <row r="75" spans="1:4" x14ac:dyDescent="0.25">
      <c r="B75" s="17"/>
      <c r="C75" s="26"/>
    </row>
    <row r="76" spans="1:4" x14ac:dyDescent="0.25">
      <c r="B76" s="17"/>
      <c r="C76" s="26"/>
    </row>
    <row r="77" spans="1:4" x14ac:dyDescent="0.25">
      <c r="A77" s="48" t="s">
        <v>54</v>
      </c>
      <c r="B77" s="49">
        <f>(ROUNDDOWN(MAX(MIN(DPA_Program_Limit,B73),0),0)*FlagTotal)-B43</f>
        <v>0</v>
      </c>
      <c r="C77" s="25"/>
    </row>
    <row r="78" spans="1:4" x14ac:dyDescent="0.25">
      <c r="A78" s="48"/>
      <c r="B78" s="49"/>
      <c r="C78" s="25">
        <f>C69*C67*C65</f>
        <v>0</v>
      </c>
    </row>
    <row r="80" spans="1:4" x14ac:dyDescent="0.25">
      <c r="A80" s="7" t="s">
        <v>61</v>
      </c>
    </row>
    <row r="81" spans="1:4" x14ac:dyDescent="0.25">
      <c r="A81" s="1" t="str">
        <f>IF(DPA_Offered&lt;DPA_Program_Limit,"1 - Lower 1st Mortgage Loan Amount to Increase DPA Offered","1 - N/A")</f>
        <v>1 - N/A</v>
      </c>
    </row>
    <row r="82" spans="1:4" x14ac:dyDescent="0.25">
      <c r="A82" s="1" t="str">
        <f>IF(B34&lt;&gt;0,"2 - Normally, DPA funds can't go towards repair/improvements. Verify.","2 - N/A")</f>
        <v>2 - N/A</v>
      </c>
    </row>
    <row r="83" spans="1:4" x14ac:dyDescent="0.25">
      <c r="A83" s="1" t="s">
        <v>63</v>
      </c>
    </row>
    <row r="84" spans="1:4" x14ac:dyDescent="0.25">
      <c r="A84" s="7" t="s">
        <v>59</v>
      </c>
      <c r="B84" s="25">
        <f>COUNTBLANK(A85:A87)</f>
        <v>2</v>
      </c>
    </row>
    <row r="85" spans="1:4" x14ac:dyDescent="0.25">
      <c r="A85" s="1" t="str">
        <f>IF((AND(Front_End_DTI&lt;0.25,VLOOKUP($B$4,DPA_Tbl[#All],6,FALSE)="HARD")),"DTI too low for this DPA Program, must be over 25%","")</f>
        <v/>
      </c>
    </row>
    <row r="86" spans="1:4" x14ac:dyDescent="0.25">
      <c r="A86" s="1" t="str">
        <f>IF((AND(Front_End_DTI&lt;0.25,VLOOKUP($B$4,DPA_Tbl[#All],6,FALSE)="SOFT")),"2 - DTI Under 25% - Raise 1st Mortgage without MI to Max Base Amount","")</f>
        <v/>
      </c>
    </row>
    <row r="87" spans="1:4" x14ac:dyDescent="0.25">
      <c r="A87" s="1" t="str">
        <f>IF(C69=0,"3 - Raise Borrower Conribution, does not meet program minimum","")</f>
        <v>3 - Raise Borrower Conribution, does not meet program minimum</v>
      </c>
    </row>
    <row r="88" spans="1:4" ht="15.75" thickBot="1" x14ac:dyDescent="0.3">
      <c r="A88" s="1" t="str">
        <f>IF(B46&gt;SUM(B34:B37),"4 - Seller Credits &gt; Closing Costs.  Please adjust.","")</f>
        <v/>
      </c>
    </row>
    <row r="89" spans="1:4" x14ac:dyDescent="0.25">
      <c r="A89" s="38"/>
      <c r="C89" s="40">
        <f ca="1">NOW()</f>
        <v>45205.557384259257</v>
      </c>
    </row>
    <row r="90" spans="1:4" x14ac:dyDescent="0.25">
      <c r="A90" s="39"/>
      <c r="C90" s="40"/>
    </row>
    <row r="91" spans="1:4" ht="15.75" thickBot="1" x14ac:dyDescent="0.3">
      <c r="A91" s="29" t="s">
        <v>75</v>
      </c>
      <c r="C91" s="1" t="s">
        <v>60</v>
      </c>
    </row>
    <row r="92" spans="1:4" ht="16.5" customHeight="1" x14ac:dyDescent="0.25">
      <c r="A92" s="42"/>
      <c r="B92" s="43"/>
      <c r="C92" s="43"/>
      <c r="D92" s="44"/>
    </row>
    <row r="93" spans="1:4" ht="16.5" customHeight="1" x14ac:dyDescent="0.25">
      <c r="A93" s="45"/>
      <c r="B93" s="46"/>
      <c r="C93" s="46"/>
      <c r="D93" s="47"/>
    </row>
    <row r="94" spans="1:4" x14ac:dyDescent="0.25">
      <c r="A94" s="45"/>
      <c r="B94" s="46"/>
      <c r="C94" s="46"/>
      <c r="D94" s="47"/>
    </row>
    <row r="95" spans="1:4" ht="15" hidden="1" customHeight="1" x14ac:dyDescent="0.25">
      <c r="A95" s="45"/>
      <c r="B95" s="46"/>
      <c r="C95" s="46"/>
      <c r="D95" s="47"/>
    </row>
    <row r="96" spans="1:4" ht="15" hidden="1" customHeight="1" x14ac:dyDescent="0.25">
      <c r="A96" s="45"/>
      <c r="B96" s="46"/>
      <c r="C96" s="46"/>
      <c r="D96" s="47"/>
    </row>
    <row r="97" spans="1:4" ht="15" hidden="1" customHeight="1" x14ac:dyDescent="0.25">
      <c r="A97" s="45"/>
      <c r="B97" s="46"/>
      <c r="C97" s="46"/>
      <c r="D97" s="47"/>
    </row>
    <row r="98" spans="1:4" ht="15" hidden="1" customHeight="1" x14ac:dyDescent="0.25">
      <c r="A98" s="45"/>
      <c r="B98" s="46"/>
      <c r="C98" s="46"/>
      <c r="D98" s="47"/>
    </row>
    <row r="99" spans="1:4" ht="15" hidden="1" customHeight="1" x14ac:dyDescent="0.25">
      <c r="A99" s="45"/>
      <c r="B99" s="46"/>
      <c r="C99" s="46"/>
      <c r="D99" s="47"/>
    </row>
    <row r="100" spans="1:4" ht="15" hidden="1" customHeight="1" x14ac:dyDescent="0.25">
      <c r="A100" s="45"/>
      <c r="B100" s="46"/>
      <c r="C100" s="46"/>
      <c r="D100" s="47"/>
    </row>
    <row r="101" spans="1:4" ht="15" hidden="1" customHeight="1" x14ac:dyDescent="0.25">
      <c r="A101" s="45"/>
      <c r="B101" s="46"/>
      <c r="C101" s="46"/>
      <c r="D101" s="47"/>
    </row>
    <row r="102" spans="1:4" ht="15" hidden="1" customHeight="1" x14ac:dyDescent="0.25">
      <c r="A102" s="45"/>
      <c r="B102" s="46"/>
      <c r="C102" s="46"/>
      <c r="D102" s="47"/>
    </row>
    <row r="103" spans="1:4" ht="15" hidden="1" customHeight="1" x14ac:dyDescent="0.25">
      <c r="A103" s="45"/>
      <c r="B103" s="46"/>
      <c r="C103" s="46"/>
      <c r="D103" s="47"/>
    </row>
    <row r="104" spans="1:4" ht="15" hidden="1" customHeight="1" x14ac:dyDescent="0.25">
      <c r="A104" s="45"/>
      <c r="B104" s="46"/>
      <c r="C104" s="46"/>
      <c r="D104" s="47"/>
    </row>
    <row r="105" spans="1:4" ht="15" hidden="1" customHeight="1" x14ac:dyDescent="0.25">
      <c r="A105" s="45"/>
      <c r="B105" s="46"/>
      <c r="C105" s="46"/>
      <c r="D105" s="47"/>
    </row>
    <row r="106" spans="1:4" ht="15" hidden="1" customHeight="1" x14ac:dyDescent="0.25">
      <c r="A106" s="45"/>
      <c r="B106" s="46"/>
      <c r="C106" s="46"/>
      <c r="D106" s="47"/>
    </row>
    <row r="107" spans="1:4" ht="15" hidden="1" customHeight="1" x14ac:dyDescent="0.25">
      <c r="A107" s="45"/>
      <c r="B107" s="46"/>
      <c r="C107" s="46"/>
      <c r="D107" s="47"/>
    </row>
    <row r="108" spans="1:4" ht="15" hidden="1" customHeight="1" x14ac:dyDescent="0.25">
      <c r="A108" s="45"/>
      <c r="B108" s="46"/>
      <c r="C108" s="46"/>
      <c r="D108" s="47"/>
    </row>
    <row r="109" spans="1:4" ht="15" hidden="1" customHeight="1" x14ac:dyDescent="0.25">
      <c r="A109" s="45"/>
      <c r="B109" s="46"/>
      <c r="C109" s="46"/>
      <c r="D109" s="47"/>
    </row>
    <row r="110" spans="1:4" ht="15" hidden="1" customHeight="1" x14ac:dyDescent="0.25">
      <c r="A110" s="45"/>
      <c r="B110" s="46"/>
      <c r="C110" s="46"/>
      <c r="D110" s="47"/>
    </row>
    <row r="111" spans="1:4" ht="15" hidden="1" customHeight="1" x14ac:dyDescent="0.25">
      <c r="A111" s="45"/>
      <c r="B111" s="46"/>
      <c r="C111" s="46"/>
      <c r="D111" s="47"/>
    </row>
    <row r="112" spans="1:4" ht="15" hidden="1" customHeight="1" x14ac:dyDescent="0.25">
      <c r="A112" s="45"/>
      <c r="B112" s="46"/>
      <c r="C112" s="46"/>
      <c r="D112" s="47"/>
    </row>
    <row r="113" spans="1:4" ht="15.75" hidden="1" customHeight="1" thickBot="1" x14ac:dyDescent="0.25">
      <c r="A113" s="45"/>
      <c r="B113" s="46"/>
      <c r="C113" s="46"/>
      <c r="D113" s="47"/>
    </row>
    <row r="114" spans="1:4" ht="15" hidden="1" customHeight="1" x14ac:dyDescent="0.25">
      <c r="A114" s="45"/>
      <c r="B114" s="46"/>
      <c r="C114" s="46"/>
      <c r="D114" s="47"/>
    </row>
    <row r="115" spans="1:4" ht="15" hidden="1" customHeight="1" x14ac:dyDescent="0.25">
      <c r="A115" s="45"/>
      <c r="B115" s="46"/>
      <c r="C115" s="46"/>
      <c r="D115" s="47"/>
    </row>
    <row r="116" spans="1:4" x14ac:dyDescent="0.25">
      <c r="A116" s="45"/>
      <c r="B116" s="46"/>
      <c r="C116" s="46"/>
      <c r="D116" s="47"/>
    </row>
    <row r="117" spans="1:4" x14ac:dyDescent="0.25">
      <c r="A117" s="45"/>
      <c r="B117" s="46"/>
      <c r="C117" s="46"/>
      <c r="D117" s="47"/>
    </row>
    <row r="118" spans="1:4" x14ac:dyDescent="0.25">
      <c r="A118" s="45"/>
      <c r="B118" s="46"/>
      <c r="C118" s="46"/>
      <c r="D118" s="47"/>
    </row>
    <row r="119" spans="1:4" ht="15.75" thickBot="1" x14ac:dyDescent="0.3">
      <c r="A119" s="30" t="s">
        <v>80</v>
      </c>
      <c r="B119" s="31"/>
      <c r="C119" s="31"/>
      <c r="D119" s="32"/>
    </row>
    <row r="128" spans="1:4" hidden="1" x14ac:dyDescent="0.25"/>
  </sheetData>
  <sheetProtection algorithmName="SHA-512" hashValue="vqjYJCE4efdo04pEebNRSB+oyebcVXu1w3PRFf1owN644m7b6BuND6weflTEQoxRvXt4C70dSCEJDBRHlUFHFA==" saltValue="oJJYDZoupbOta696Db09ZA==" spinCount="100000" sheet="1" selectLockedCells="1"/>
  <mergeCells count="14">
    <mergeCell ref="A89:A90"/>
    <mergeCell ref="C89:C90"/>
    <mergeCell ref="C1:D1"/>
    <mergeCell ref="A92:D118"/>
    <mergeCell ref="A77:A78"/>
    <mergeCell ref="B77:B78"/>
    <mergeCell ref="A62:D63"/>
    <mergeCell ref="A16:D17"/>
    <mergeCell ref="A54:D55"/>
    <mergeCell ref="A5:D6"/>
    <mergeCell ref="A8:D9"/>
    <mergeCell ref="C58:D60"/>
    <mergeCell ref="A30:D31"/>
    <mergeCell ref="B19:C19"/>
  </mergeCells>
  <dataValidations count="3">
    <dataValidation type="list" allowBlank="1" showInputMessage="1" showErrorMessage="1" sqref="B19:C19" xr:uid="{57406F11-F44A-487F-9490-84A7A1CADD0E}">
      <formula1>INDIRECT("FirstTble[FirstMtgType]")</formula1>
    </dataValidation>
    <dataValidation type="list" allowBlank="1" showInputMessage="1" showErrorMessage="1" sqref="B4" xr:uid="{82D494FF-E7D1-4B20-A55A-CF1A3A952F13}">
      <formula1>INDIRECT("DPA_Tbl[DPA Program]")</formula1>
    </dataValidation>
    <dataValidation type="list" allowBlank="1" showInputMessage="1" showErrorMessage="1" sqref="B58:B59" xr:uid="{7D86751F-2A18-4632-916D-B3C1551A3501}">
      <formula1>$D$56:$D$57</formula1>
    </dataValidation>
  </dataValidations>
  <printOptions horizontalCentered="1"/>
  <pageMargins left="0.25" right="0.25" top="0.75" bottom="0.75" header="0.3" footer="0.3"/>
  <pageSetup fitToHeight="0" orientation="portrait" horizontalDpi="1200" verticalDpi="1200" r:id="rId1"/>
  <headerFooter>
    <oddHeader>&amp;C&amp;"-,Bold"&amp;16&amp;UDown Payment Assistance Determination Form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0B6F20-80BC-4820-AA66-7946BD6059FF}">
          <x14:formula1>
            <xm:f>DataSheet!$A$13:$A$20</xm:f>
          </x14:formula1>
          <xm:sqref>B8:B9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7041-5B1D-4508-9DB9-3A8AA1CC5B96}">
  <dimension ref="A1:F21"/>
  <sheetViews>
    <sheetView workbookViewId="0">
      <selection activeCell="D13" sqref="D13"/>
    </sheetView>
  </sheetViews>
  <sheetFormatPr defaultRowHeight="15" x14ac:dyDescent="0.25"/>
  <cols>
    <col min="1" max="1" width="46.85546875" bestFit="1" customWidth="1"/>
    <col min="2" max="2" width="13.5703125" customWidth="1"/>
    <col min="3" max="3" width="11.85546875" bestFit="1" customWidth="1"/>
    <col min="4" max="4" width="22.85546875" customWidth="1"/>
    <col min="6" max="6" width="24.140625" customWidth="1"/>
  </cols>
  <sheetData>
    <row r="1" spans="1:6" x14ac:dyDescent="0.25">
      <c r="A1" t="s">
        <v>3</v>
      </c>
      <c r="B1" t="s">
        <v>18</v>
      </c>
    </row>
    <row r="2" spans="1:6" x14ac:dyDescent="0.25">
      <c r="A2" t="s">
        <v>8</v>
      </c>
      <c r="B2" s="2">
        <v>0</v>
      </c>
    </row>
    <row r="3" spans="1:6" x14ac:dyDescent="0.25">
      <c r="A3" t="s">
        <v>69</v>
      </c>
      <c r="B3" s="2">
        <v>0.97</v>
      </c>
    </row>
    <row r="4" spans="1:6" x14ac:dyDescent="0.25">
      <c r="A4" t="s">
        <v>68</v>
      </c>
      <c r="B4" s="2">
        <v>0.95</v>
      </c>
    </row>
    <row r="5" spans="1:6" x14ac:dyDescent="0.25">
      <c r="A5" t="s">
        <v>67</v>
      </c>
      <c r="B5" s="2">
        <v>0.95</v>
      </c>
    </row>
    <row r="6" spans="1:6" x14ac:dyDescent="0.25">
      <c r="A6" t="s">
        <v>4</v>
      </c>
      <c r="B6" s="12">
        <v>0.96499999999999997</v>
      </c>
    </row>
    <row r="7" spans="1:6" x14ac:dyDescent="0.25">
      <c r="A7" t="s">
        <v>6</v>
      </c>
      <c r="B7" s="2">
        <v>1</v>
      </c>
    </row>
    <row r="8" spans="1:6" x14ac:dyDescent="0.25">
      <c r="A8" t="s">
        <v>5</v>
      </c>
      <c r="B8" s="2">
        <v>1</v>
      </c>
    </row>
    <row r="9" spans="1:6" x14ac:dyDescent="0.25">
      <c r="A9" t="s">
        <v>7</v>
      </c>
      <c r="B9" s="2">
        <v>1</v>
      </c>
    </row>
    <row r="11" spans="1:6" x14ac:dyDescent="0.25">
      <c r="A11" t="s">
        <v>9</v>
      </c>
      <c r="B11" t="s">
        <v>19</v>
      </c>
      <c r="C11" t="s">
        <v>44</v>
      </c>
      <c r="D11" t="s">
        <v>45</v>
      </c>
      <c r="E11" t="s">
        <v>46</v>
      </c>
      <c r="F11" t="s">
        <v>48</v>
      </c>
    </row>
    <row r="12" spans="1:6" x14ac:dyDescent="0.25">
      <c r="A12" t="s">
        <v>8</v>
      </c>
      <c r="B12">
        <v>0</v>
      </c>
      <c r="C12" s="10">
        <v>0</v>
      </c>
      <c r="D12">
        <v>0</v>
      </c>
      <c r="E12">
        <f>MAX(NeedsAssessment!$B$33*DPA_Tbl[[#This Row],[MinCon%]],DPA_Tbl[[#This Row],[MinCon$]])</f>
        <v>0</v>
      </c>
      <c r="F12" t="s">
        <v>49</v>
      </c>
    </row>
    <row r="13" spans="1:6" x14ac:dyDescent="0.25">
      <c r="A13" t="s">
        <v>12</v>
      </c>
      <c r="B13">
        <v>40000</v>
      </c>
      <c r="C13" s="10">
        <f>1%*NeedsAssessment!C61</f>
        <v>0.01</v>
      </c>
      <c r="D13">
        <f>2500*NeedsAssessment!C61</f>
        <v>2500</v>
      </c>
      <c r="E13">
        <f>MAX(NeedsAssessment!$B$33*DPA_Tbl[[#This Row],[MinCon%]],DPA_Tbl[[#This Row],[MinCon$]])</f>
        <v>2500</v>
      </c>
      <c r="F13" t="s">
        <v>50</v>
      </c>
    </row>
    <row r="14" spans="1:6" x14ac:dyDescent="0.25">
      <c r="A14" t="s">
        <v>81</v>
      </c>
      <c r="B14">
        <v>60000</v>
      </c>
      <c r="C14" s="10">
        <v>0</v>
      </c>
      <c r="D14">
        <v>0</v>
      </c>
      <c r="E14">
        <v>0</v>
      </c>
      <c r="F14" t="s">
        <v>50</v>
      </c>
    </row>
    <row r="15" spans="1:6" x14ac:dyDescent="0.25">
      <c r="A15" t="s">
        <v>13</v>
      </c>
      <c r="B15">
        <v>30000</v>
      </c>
      <c r="C15" s="10">
        <v>0.02</v>
      </c>
      <c r="D15">
        <v>0</v>
      </c>
      <c r="E15">
        <f>MAX(NeedsAssessment!$B$33*DPA_Tbl[[#This Row],[MinCon%]],DPA_Tbl[[#This Row],[MinCon$]])</f>
        <v>0</v>
      </c>
      <c r="F15" t="s">
        <v>50</v>
      </c>
    </row>
    <row r="16" spans="1:6" x14ac:dyDescent="0.25">
      <c r="A16" t="s">
        <v>87</v>
      </c>
      <c r="B16">
        <v>10000</v>
      </c>
      <c r="C16" s="10">
        <v>0</v>
      </c>
      <c r="D16">
        <v>0</v>
      </c>
      <c r="E16">
        <f>MAX(NeedsAssessment!$B$33*DPA_Tbl[[#This Row],[MinCon%]],DPA_Tbl[[#This Row],[MinCon$]])</f>
        <v>0</v>
      </c>
      <c r="F16" t="s">
        <v>49</v>
      </c>
    </row>
    <row r="17" spans="1:6" x14ac:dyDescent="0.25">
      <c r="A17" t="s">
        <v>11</v>
      </c>
      <c r="B17">
        <v>15000</v>
      </c>
      <c r="C17" s="10">
        <v>0</v>
      </c>
      <c r="D17">
        <v>0</v>
      </c>
      <c r="E17">
        <f>MAX(NeedsAssessment!$B$33*DPA_Tbl[[#This Row],[MinCon%]],DPA_Tbl[[#This Row],[MinCon$]])</f>
        <v>0</v>
      </c>
      <c r="F17" t="s">
        <v>49</v>
      </c>
    </row>
    <row r="18" spans="1:6" x14ac:dyDescent="0.25">
      <c r="A18" t="s">
        <v>86</v>
      </c>
      <c r="B18">
        <v>15000</v>
      </c>
      <c r="C18" s="10">
        <v>0</v>
      </c>
      <c r="D18">
        <v>0</v>
      </c>
      <c r="E18">
        <f>MAX(NeedsAssessment!$B$33*DPA_Tbl[[#This Row],[MinCon%]],DPA_Tbl[[#This Row],[MinCon$]])</f>
        <v>0</v>
      </c>
      <c r="F18" t="s">
        <v>49</v>
      </c>
    </row>
    <row r="19" spans="1:6" x14ac:dyDescent="0.25">
      <c r="A19" t="s">
        <v>10</v>
      </c>
      <c r="B19">
        <v>10000</v>
      </c>
      <c r="C19" s="10">
        <v>0</v>
      </c>
      <c r="D19">
        <v>0</v>
      </c>
      <c r="E19">
        <f>MAX(NeedsAssessment!$B$33*DPA_Tbl[[#This Row],[MinCon%]],DPA_Tbl[[#This Row],[MinCon$]])</f>
        <v>0</v>
      </c>
      <c r="F19" t="s">
        <v>49</v>
      </c>
    </row>
    <row r="20" spans="1:6" x14ac:dyDescent="0.25">
      <c r="C20" s="10"/>
    </row>
    <row r="21" spans="1:6" x14ac:dyDescent="0.25">
      <c r="C21" s="10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NeedsAssessment</vt:lpstr>
      <vt:lpstr>DataSheet</vt:lpstr>
      <vt:lpstr>DPA_Offered</vt:lpstr>
      <vt:lpstr>DPA_Program_Limit</vt:lpstr>
      <vt:lpstr>FlagTotal</vt:lpstr>
      <vt:lpstr>Front_End_DTI</vt:lpstr>
      <vt:lpstr>Lower_of_Two</vt:lpstr>
      <vt:lpstr>Max_LTV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Dietrich Schmitz</cp:lastModifiedBy>
  <cp:lastPrinted>2023-03-27T19:35:46Z</cp:lastPrinted>
  <dcterms:created xsi:type="dcterms:W3CDTF">2021-11-18T18:08:35Z</dcterms:created>
  <dcterms:modified xsi:type="dcterms:W3CDTF">2023-10-06T20:23:13Z</dcterms:modified>
</cp:coreProperties>
</file>